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usbe-my.sharepoint.com/personal/malia_hite_schools_utah_gov/Documents/Desktop/"/>
    </mc:Choice>
  </mc:AlternateContent>
  <xr:revisionPtr revIDLastSave="1" documentId="8_{EECFCC12-AB5D-4449-8263-AF5EFA55E999}" xr6:coauthVersionLast="47" xr6:coauthVersionMax="47" xr10:uidLastSave="{48C8E221-372A-4A15-A758-D2705C24366F}"/>
  <bookViews>
    <workbookView xWindow="28680" yWindow="-4215" windowWidth="38640" windowHeight="15720" activeTab="1" xr2:uid="{00000000-000D-0000-FFFF-FFFF00000000}"/>
  </bookViews>
  <sheets>
    <sheet name="Summary" sheetId="3" r:id="rId1"/>
    <sheet name="Calculations" sheetId="1" r:id="rId2"/>
    <sheet name="Data Table 3.20.2025" sheetId="8" state="hidden" r:id="rId3"/>
  </sheets>
  <externalReferences>
    <externalReference r:id="rId4"/>
  </externalReferences>
  <definedNames>
    <definedName name="_xlnm._FilterDatabase" localSheetId="2" hidden="1">'Data Table 3.20.2025'!$B$1:$BJ$158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9" i="1" l="1"/>
  <c r="C159" i="1"/>
  <c r="E157" i="1"/>
  <c r="C157" i="1"/>
  <c r="E156" i="1"/>
  <c r="C156" i="1"/>
  <c r="E155" i="1"/>
  <c r="C155" i="1"/>
  <c r="E154" i="1"/>
  <c r="C154" i="1"/>
  <c r="E153" i="1"/>
  <c r="C153" i="1"/>
  <c r="E152" i="1"/>
  <c r="C152" i="1"/>
  <c r="E151" i="1"/>
  <c r="C151" i="1"/>
  <c r="E150" i="1"/>
  <c r="C150" i="1"/>
  <c r="E149" i="1"/>
  <c r="C149" i="1"/>
  <c r="E148" i="1"/>
  <c r="C148" i="1"/>
  <c r="E147" i="1"/>
  <c r="C147" i="1"/>
  <c r="E146" i="1"/>
  <c r="C146" i="1"/>
  <c r="E145" i="1"/>
  <c r="C145" i="1"/>
  <c r="E144" i="1"/>
  <c r="C144" i="1"/>
  <c r="E143" i="1"/>
  <c r="C143" i="1"/>
  <c r="E142" i="1"/>
  <c r="C142" i="1"/>
  <c r="E141" i="1"/>
  <c r="C141" i="1"/>
  <c r="E140" i="1"/>
  <c r="C140" i="1"/>
  <c r="E139" i="1"/>
  <c r="C139" i="1"/>
  <c r="E138" i="1"/>
  <c r="C138" i="1"/>
  <c r="E137" i="1"/>
  <c r="C137" i="1"/>
  <c r="E136" i="1"/>
  <c r="C136" i="1"/>
  <c r="E135" i="1"/>
  <c r="C135" i="1"/>
  <c r="E134" i="1"/>
  <c r="C134" i="1"/>
  <c r="E133" i="1"/>
  <c r="C133" i="1"/>
  <c r="E132" i="1"/>
  <c r="C132" i="1"/>
  <c r="E131" i="1"/>
  <c r="C131" i="1"/>
  <c r="E130" i="1"/>
  <c r="C130" i="1"/>
  <c r="E129" i="1"/>
  <c r="C129" i="1"/>
  <c r="E128" i="1"/>
  <c r="C128" i="1"/>
  <c r="E127" i="1"/>
  <c r="C127" i="1"/>
  <c r="E126" i="1"/>
  <c r="C126" i="1"/>
  <c r="E125" i="1"/>
  <c r="C125" i="1"/>
  <c r="E124" i="1"/>
  <c r="C124" i="1"/>
  <c r="E123" i="1"/>
  <c r="C123" i="1"/>
  <c r="E122" i="1"/>
  <c r="C122" i="1"/>
  <c r="E121" i="1"/>
  <c r="C121" i="1"/>
  <c r="E120" i="1"/>
  <c r="C120" i="1"/>
  <c r="E119" i="1"/>
  <c r="C119" i="1"/>
  <c r="E118" i="1"/>
  <c r="C118" i="1"/>
  <c r="E117" i="1"/>
  <c r="C117" i="1"/>
  <c r="E116" i="1"/>
  <c r="C116" i="1"/>
  <c r="E115" i="1"/>
  <c r="C115" i="1"/>
  <c r="E114" i="1"/>
  <c r="C114" i="1"/>
  <c r="E113" i="1"/>
  <c r="C113" i="1"/>
  <c r="E112" i="1"/>
  <c r="C112" i="1"/>
  <c r="E111" i="1"/>
  <c r="C111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C102" i="1"/>
  <c r="E101" i="1"/>
  <c r="C101" i="1"/>
  <c r="E100" i="1"/>
  <c r="C100" i="1"/>
  <c r="E99" i="1"/>
  <c r="C99" i="1"/>
  <c r="E98" i="1"/>
  <c r="C98" i="1"/>
  <c r="E97" i="1"/>
  <c r="C97" i="1"/>
  <c r="E96" i="1"/>
  <c r="C96" i="1"/>
  <c r="E95" i="1"/>
  <c r="C95" i="1"/>
  <c r="E94" i="1"/>
  <c r="C94" i="1"/>
  <c r="E93" i="1"/>
  <c r="C93" i="1"/>
  <c r="E92" i="1"/>
  <c r="C92" i="1"/>
  <c r="E91" i="1"/>
  <c r="C91" i="1"/>
  <c r="E90" i="1"/>
  <c r="C90" i="1"/>
  <c r="E89" i="1"/>
  <c r="C89" i="1"/>
  <c r="E88" i="1"/>
  <c r="C88" i="1"/>
  <c r="E87" i="1"/>
  <c r="C87" i="1"/>
  <c r="E86" i="1"/>
  <c r="C86" i="1"/>
  <c r="E85" i="1"/>
  <c r="C85" i="1"/>
  <c r="E84" i="1"/>
  <c r="C84" i="1"/>
  <c r="E83" i="1"/>
  <c r="C83" i="1"/>
  <c r="E82" i="1"/>
  <c r="C82" i="1"/>
  <c r="E81" i="1"/>
  <c r="C81" i="1"/>
  <c r="E80" i="1"/>
  <c r="C80" i="1"/>
  <c r="E79" i="1"/>
  <c r="C79" i="1"/>
  <c r="E78" i="1"/>
  <c r="C78" i="1"/>
  <c r="E77" i="1"/>
  <c r="C77" i="1"/>
  <c r="E76" i="1"/>
  <c r="C76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3" i="1"/>
  <c r="C3" i="1"/>
  <c r="EP174" i="8"/>
  <c r="EL174" i="8"/>
  <c r="EK174" i="8"/>
  <c r="EJ174" i="8"/>
  <c r="ED174" i="8"/>
  <c r="DZ174" i="8"/>
  <c r="DY174" i="8"/>
  <c r="DX174" i="8"/>
  <c r="DR174" i="8"/>
  <c r="DN174" i="8"/>
  <c r="DM174" i="8"/>
  <c r="DL174" i="8"/>
  <c r="DF174" i="8"/>
  <c r="DB174" i="8"/>
  <c r="DA174" i="8"/>
  <c r="CZ174" i="8"/>
  <c r="CT174" i="8"/>
  <c r="CP174" i="8"/>
  <c r="CO174" i="8"/>
  <c r="CN174" i="8"/>
  <c r="CH174" i="8"/>
  <c r="CD174" i="8"/>
  <c r="CC174" i="8"/>
  <c r="CB174" i="8"/>
  <c r="BR174" i="8"/>
  <c r="BQ174" i="8"/>
  <c r="BP174" i="8"/>
  <c r="BF174" i="8"/>
  <c r="BE174" i="8"/>
  <c r="BD174" i="8"/>
  <c r="AT174" i="8"/>
  <c r="AS174" i="8"/>
  <c r="AR174" i="8"/>
  <c r="AH174" i="8"/>
  <c r="AG174" i="8"/>
  <c r="AF174" i="8"/>
  <c r="V174" i="8"/>
  <c r="U174" i="8"/>
  <c r="T174" i="8"/>
  <c r="J174" i="8"/>
  <c r="I174" i="8"/>
  <c r="H174" i="8"/>
  <c r="EK172" i="8"/>
  <c r="DY172" i="8"/>
  <c r="DM172" i="8"/>
  <c r="DA172" i="8"/>
  <c r="CO172" i="8"/>
  <c r="CC172" i="8"/>
  <c r="BQ172" i="8"/>
  <c r="BE172" i="8"/>
  <c r="AS172" i="8"/>
  <c r="AG172" i="8"/>
  <c r="U172" i="8"/>
  <c r="I172" i="8"/>
  <c r="EU171" i="8"/>
  <c r="ET171" i="8"/>
  <c r="ES171" i="8"/>
  <c r="ER171" i="8"/>
  <c r="EQ171" i="8"/>
  <c r="EP171" i="8"/>
  <c r="EP172" i="8" s="1"/>
  <c r="EO171" i="8"/>
  <c r="EN171" i="8"/>
  <c r="EM171" i="8"/>
  <c r="EL171" i="8"/>
  <c r="EL172" i="8" s="1"/>
  <c r="EK171" i="8"/>
  <c r="EJ171" i="8"/>
  <c r="EI171" i="8"/>
  <c r="EH171" i="8"/>
  <c r="EG171" i="8"/>
  <c r="EF171" i="8"/>
  <c r="EE171" i="8"/>
  <c r="ED171" i="8"/>
  <c r="ED172" i="8" s="1"/>
  <c r="EC171" i="8"/>
  <c r="EB171" i="8"/>
  <c r="EA171" i="8"/>
  <c r="DZ171" i="8"/>
  <c r="DZ172" i="8" s="1"/>
  <c r="DY171" i="8"/>
  <c r="DX171" i="8"/>
  <c r="DW171" i="8"/>
  <c r="DV171" i="8"/>
  <c r="DU171" i="8"/>
  <c r="DT171" i="8"/>
  <c r="DS171" i="8"/>
  <c r="DR171" i="8"/>
  <c r="DR172" i="8" s="1"/>
  <c r="DQ171" i="8"/>
  <c r="DP171" i="8"/>
  <c r="DO171" i="8"/>
  <c r="DN171" i="8"/>
  <c r="DN172" i="8" s="1"/>
  <c r="DM171" i="8"/>
  <c r="DL171" i="8"/>
  <c r="DK171" i="8"/>
  <c r="DJ171" i="8"/>
  <c r="DI171" i="8"/>
  <c r="DH171" i="8"/>
  <c r="DG171" i="8"/>
  <c r="DF171" i="8"/>
  <c r="DF172" i="8" s="1"/>
  <c r="DE171" i="8"/>
  <c r="DD171" i="8"/>
  <c r="DC171" i="8"/>
  <c r="DB171" i="8"/>
  <c r="DB172" i="8" s="1"/>
  <c r="DA171" i="8"/>
  <c r="CZ171" i="8"/>
  <c r="CY171" i="8"/>
  <c r="CX171" i="8"/>
  <c r="CW171" i="8"/>
  <c r="CV171" i="8"/>
  <c r="CU171" i="8"/>
  <c r="CT171" i="8"/>
  <c r="CT172" i="8" s="1"/>
  <c r="CS171" i="8"/>
  <c r="CR171" i="8"/>
  <c r="CQ171" i="8"/>
  <c r="CP171" i="8"/>
  <c r="CP172" i="8" s="1"/>
  <c r="CO171" i="8"/>
  <c r="CN171" i="8"/>
  <c r="CM171" i="8"/>
  <c r="CL171" i="8"/>
  <c r="CK171" i="8"/>
  <c r="CJ171" i="8"/>
  <c r="CI171" i="8"/>
  <c r="CH171" i="8"/>
  <c r="CH172" i="8" s="1"/>
  <c r="CG171" i="8"/>
  <c r="CF171" i="8"/>
  <c r="CE171" i="8"/>
  <c r="CD171" i="8"/>
  <c r="CD172" i="8" s="1"/>
  <c r="CC171" i="8"/>
  <c r="CB171" i="8"/>
  <c r="CA171" i="8"/>
  <c r="BZ171" i="8"/>
  <c r="BY171" i="8"/>
  <c r="BX171" i="8"/>
  <c r="BW171" i="8"/>
  <c r="BV171" i="8"/>
  <c r="BV172" i="8" s="1"/>
  <c r="BU171" i="8"/>
  <c r="BT171" i="8"/>
  <c r="BS171" i="8"/>
  <c r="BR171" i="8"/>
  <c r="BR172" i="8" s="1"/>
  <c r="BQ171" i="8"/>
  <c r="BP171" i="8"/>
  <c r="BO171" i="8"/>
  <c r="BN171" i="8"/>
  <c r="BM171" i="8"/>
  <c r="BL171" i="8"/>
  <c r="BK171" i="8"/>
  <c r="BJ171" i="8"/>
  <c r="BJ172" i="8" s="1"/>
  <c r="BI171" i="8"/>
  <c r="BH171" i="8"/>
  <c r="BG171" i="8"/>
  <c r="BF171" i="8"/>
  <c r="BF172" i="8" s="1"/>
  <c r="BE171" i="8"/>
  <c r="BD171" i="8"/>
  <c r="BC171" i="8"/>
  <c r="BB171" i="8"/>
  <c r="BA171" i="8"/>
  <c r="AZ171" i="8"/>
  <c r="AY171" i="8"/>
  <c r="AX171" i="8"/>
  <c r="AX172" i="8" s="1"/>
  <c r="AW171" i="8"/>
  <c r="AV171" i="8"/>
  <c r="AU171" i="8"/>
  <c r="AT171" i="8"/>
  <c r="AT172" i="8" s="1"/>
  <c r="AS171" i="8"/>
  <c r="AR171" i="8"/>
  <c r="AQ171" i="8"/>
  <c r="AP171" i="8"/>
  <c r="AO171" i="8"/>
  <c r="AN171" i="8"/>
  <c r="AM171" i="8"/>
  <c r="AL171" i="8"/>
  <c r="AL172" i="8" s="1"/>
  <c r="AK171" i="8"/>
  <c r="AJ171" i="8"/>
  <c r="AI171" i="8"/>
  <c r="AH171" i="8"/>
  <c r="AH172" i="8" s="1"/>
  <c r="AG171" i="8"/>
  <c r="AF171" i="8"/>
  <c r="AE171" i="8"/>
  <c r="AD171" i="8"/>
  <c r="AC171" i="8"/>
  <c r="AB171" i="8"/>
  <c r="AA171" i="8"/>
  <c r="Z171" i="8"/>
  <c r="Z172" i="8" s="1"/>
  <c r="Y171" i="8"/>
  <c r="X171" i="8"/>
  <c r="W171" i="8"/>
  <c r="V171" i="8"/>
  <c r="V172" i="8" s="1"/>
  <c r="U171" i="8"/>
  <c r="T171" i="8"/>
  <c r="S171" i="8"/>
  <c r="R171" i="8"/>
  <c r="Q171" i="8"/>
  <c r="P171" i="8"/>
  <c r="O171" i="8"/>
  <c r="N171" i="8"/>
  <c r="N172" i="8" s="1"/>
  <c r="M171" i="8"/>
  <c r="L171" i="8"/>
  <c r="K171" i="8"/>
  <c r="J171" i="8"/>
  <c r="J172" i="8" s="1"/>
  <c r="I171" i="8"/>
  <c r="H171" i="8"/>
  <c r="G171" i="8"/>
  <c r="EU170" i="8"/>
  <c r="EU174" i="8" s="1"/>
  <c r="ET170" i="8"/>
  <c r="ET174" i="8" s="1"/>
  <c r="ES170" i="8"/>
  <c r="ES174" i="8" s="1"/>
  <c r="ER170" i="8"/>
  <c r="ER174" i="8" s="1"/>
  <c r="EQ170" i="8"/>
  <c r="EQ172" i="8" s="1"/>
  <c r="EP170" i="8"/>
  <c r="EO170" i="8"/>
  <c r="EN170" i="8"/>
  <c r="EM170" i="8"/>
  <c r="EM174" i="8" s="1"/>
  <c r="EL170" i="8"/>
  <c r="EK170" i="8"/>
  <c r="EJ170" i="8"/>
  <c r="EI170" i="8"/>
  <c r="EI174" i="8" s="1"/>
  <c r="EH170" i="8"/>
  <c r="EH174" i="8" s="1"/>
  <c r="EG170" i="8"/>
  <c r="EG174" i="8" s="1"/>
  <c r="EF170" i="8"/>
  <c r="EF174" i="8" s="1"/>
  <c r="EE170" i="8"/>
  <c r="EE174" i="8" s="1"/>
  <c r="ED170" i="8"/>
  <c r="EC170" i="8"/>
  <c r="EB170" i="8"/>
  <c r="EB174" i="8" s="1"/>
  <c r="EA170" i="8"/>
  <c r="EA174" i="8" s="1"/>
  <c r="DZ170" i="8"/>
  <c r="DY170" i="8"/>
  <c r="DX170" i="8"/>
  <c r="DW170" i="8"/>
  <c r="DW174" i="8" s="1"/>
  <c r="DV170" i="8"/>
  <c r="DV174" i="8" s="1"/>
  <c r="DU170" i="8"/>
  <c r="DU174" i="8" s="1"/>
  <c r="DT170" i="8"/>
  <c r="DT174" i="8" s="1"/>
  <c r="DS170" i="8"/>
  <c r="DS174" i="8" s="1"/>
  <c r="DR170" i="8"/>
  <c r="DQ170" i="8"/>
  <c r="DP170" i="8"/>
  <c r="DP174" i="8" s="1"/>
  <c r="DO170" i="8"/>
  <c r="DO174" i="8" s="1"/>
  <c r="DN170" i="8"/>
  <c r="DM170" i="8"/>
  <c r="DL170" i="8"/>
  <c r="DK170" i="8"/>
  <c r="DK174" i="8" s="1"/>
  <c r="DJ170" i="8"/>
  <c r="DJ174" i="8" s="1"/>
  <c r="DI170" i="8"/>
  <c r="DI174" i="8" s="1"/>
  <c r="DH170" i="8"/>
  <c r="DH174" i="8" s="1"/>
  <c r="DG170" i="8"/>
  <c r="DG172" i="8" s="1"/>
  <c r="DF170" i="8"/>
  <c r="DE170" i="8"/>
  <c r="DD170" i="8"/>
  <c r="DD174" i="8" s="1"/>
  <c r="DC170" i="8"/>
  <c r="DC174" i="8" s="1"/>
  <c r="DB170" i="8"/>
  <c r="DA170" i="8"/>
  <c r="CZ170" i="8"/>
  <c r="CY170" i="8"/>
  <c r="CY174" i="8" s="1"/>
  <c r="CX170" i="8"/>
  <c r="CX174" i="8" s="1"/>
  <c r="CW170" i="8"/>
  <c r="CW174" i="8" s="1"/>
  <c r="CV170" i="8"/>
  <c r="CV174" i="8" s="1"/>
  <c r="CU170" i="8"/>
  <c r="CU174" i="8" s="1"/>
  <c r="CT170" i="8"/>
  <c r="CS170" i="8"/>
  <c r="CR170" i="8"/>
  <c r="CR174" i="8" s="1"/>
  <c r="CQ170" i="8"/>
  <c r="CQ174" i="8" s="1"/>
  <c r="CP170" i="8"/>
  <c r="CO170" i="8"/>
  <c r="CN170" i="8"/>
  <c r="CM170" i="8"/>
  <c r="CM174" i="8" s="1"/>
  <c r="CL170" i="8"/>
  <c r="CL174" i="8" s="1"/>
  <c r="CK170" i="8"/>
  <c r="CK174" i="8" s="1"/>
  <c r="CJ170" i="8"/>
  <c r="CJ174" i="8" s="1"/>
  <c r="CI170" i="8"/>
  <c r="CI174" i="8" s="1"/>
  <c r="CH170" i="8"/>
  <c r="CG170" i="8"/>
  <c r="CF170" i="8"/>
  <c r="CF174" i="8" s="1"/>
  <c r="CE170" i="8"/>
  <c r="CE174" i="8" s="1"/>
  <c r="CD170" i="8"/>
  <c r="CC170" i="8"/>
  <c r="CB170" i="8"/>
  <c r="CA170" i="8"/>
  <c r="CA174" i="8" s="1"/>
  <c r="BZ170" i="8"/>
  <c r="BZ174" i="8" s="1"/>
  <c r="BY170" i="8"/>
  <c r="BY174" i="8" s="1"/>
  <c r="BX170" i="8"/>
  <c r="BX174" i="8" s="1"/>
  <c r="BW170" i="8"/>
  <c r="BW174" i="8" s="1"/>
  <c r="BV170" i="8"/>
  <c r="BU170" i="8"/>
  <c r="BT170" i="8"/>
  <c r="BT174" i="8" s="1"/>
  <c r="BS170" i="8"/>
  <c r="BS174" i="8" s="1"/>
  <c r="BR170" i="8"/>
  <c r="BQ170" i="8"/>
  <c r="BP170" i="8"/>
  <c r="BO170" i="8"/>
  <c r="BO174" i="8" s="1"/>
  <c r="BN170" i="8"/>
  <c r="BN174" i="8" s="1"/>
  <c r="BM170" i="8"/>
  <c r="BM174" i="8" s="1"/>
  <c r="BL170" i="8"/>
  <c r="BL174" i="8" s="1"/>
  <c r="BK170" i="8"/>
  <c r="BK172" i="8" s="1"/>
  <c r="BJ170" i="8"/>
  <c r="BI170" i="8"/>
  <c r="BH170" i="8"/>
  <c r="BH174" i="8" s="1"/>
  <c r="BG170" i="8"/>
  <c r="BG174" i="8" s="1"/>
  <c r="BF170" i="8"/>
  <c r="BE170" i="8"/>
  <c r="BD170" i="8"/>
  <c r="BC170" i="8"/>
  <c r="BC174" i="8" s="1"/>
  <c r="BB170" i="8"/>
  <c r="BB174" i="8" s="1"/>
  <c r="BA170" i="8"/>
  <c r="BA174" i="8" s="1"/>
  <c r="AZ170" i="8"/>
  <c r="AZ174" i="8" s="1"/>
  <c r="AY170" i="8"/>
  <c r="AY174" i="8" s="1"/>
  <c r="AX170" i="8"/>
  <c r="AW170" i="8"/>
  <c r="AV170" i="8"/>
  <c r="AV174" i="8" s="1"/>
  <c r="AU170" i="8"/>
  <c r="AU174" i="8" s="1"/>
  <c r="AT170" i="8"/>
  <c r="AS170" i="8"/>
  <c r="AR170" i="8"/>
  <c r="AQ170" i="8"/>
  <c r="AQ174" i="8" s="1"/>
  <c r="AP170" i="8"/>
  <c r="AP174" i="8" s="1"/>
  <c r="AO170" i="8"/>
  <c r="AO174" i="8" s="1"/>
  <c r="AN170" i="8"/>
  <c r="AN174" i="8" s="1"/>
  <c r="AM170" i="8"/>
  <c r="AM174" i="8" s="1"/>
  <c r="AL170" i="8"/>
  <c r="AK170" i="8"/>
  <c r="AJ170" i="8"/>
  <c r="AJ174" i="8" s="1"/>
  <c r="AI170" i="8"/>
  <c r="AI174" i="8" s="1"/>
  <c r="AH170" i="8"/>
  <c r="AG170" i="8"/>
  <c r="AF170" i="8"/>
  <c r="AE170" i="8"/>
  <c r="AE174" i="8" s="1"/>
  <c r="AD170" i="8"/>
  <c r="AD174" i="8" s="1"/>
  <c r="AC170" i="8"/>
  <c r="AC174" i="8" s="1"/>
  <c r="AB170" i="8"/>
  <c r="AB174" i="8" s="1"/>
  <c r="AA170" i="8"/>
  <c r="AA172" i="8" s="1"/>
  <c r="Z170" i="8"/>
  <c r="Y170" i="8"/>
  <c r="X170" i="8"/>
  <c r="X174" i="8" s="1"/>
  <c r="W170" i="8"/>
  <c r="W174" i="8" s="1"/>
  <c r="V170" i="8"/>
  <c r="U170" i="8"/>
  <c r="T170" i="8"/>
  <c r="S170" i="8"/>
  <c r="S174" i="8" s="1"/>
  <c r="R170" i="8"/>
  <c r="R174" i="8" s="1"/>
  <c r="Q170" i="8"/>
  <c r="Q174" i="8" s="1"/>
  <c r="P170" i="8"/>
  <c r="P174" i="8" s="1"/>
  <c r="O170" i="8"/>
  <c r="O172" i="8" s="1"/>
  <c r="N170" i="8"/>
  <c r="M170" i="8"/>
  <c r="L170" i="8"/>
  <c r="L174" i="8" s="1"/>
  <c r="K170" i="8"/>
  <c r="K174" i="8" s="1"/>
  <c r="J170" i="8"/>
  <c r="I170" i="8"/>
  <c r="H170" i="8"/>
  <c r="G170" i="8"/>
  <c r="G174" i="8" s="1"/>
  <c r="EU169" i="8"/>
  <c r="EU172" i="8" s="1"/>
  <c r="ET169" i="8"/>
  <c r="ET172" i="8" s="1"/>
  <c r="ES169" i="8"/>
  <c r="ES172" i="8" s="1"/>
  <c r="ER169" i="8"/>
  <c r="ER172" i="8" s="1"/>
  <c r="EQ169" i="8"/>
  <c r="EP169" i="8"/>
  <c r="EO169" i="8"/>
  <c r="EO174" i="8" s="1"/>
  <c r="EN169" i="8"/>
  <c r="EN174" i="8" s="1"/>
  <c r="EM169" i="8"/>
  <c r="EL169" i="8"/>
  <c r="EK169" i="8"/>
  <c r="EJ169" i="8"/>
  <c r="EJ172" i="8" s="1"/>
  <c r="EI169" i="8"/>
  <c r="EI172" i="8" s="1"/>
  <c r="EH169" i="8"/>
  <c r="EH172" i="8" s="1"/>
  <c r="EG169" i="8"/>
  <c r="EG172" i="8" s="1"/>
  <c r="EF169" i="8"/>
  <c r="EF172" i="8" s="1"/>
  <c r="EE169" i="8"/>
  <c r="ED169" i="8"/>
  <c r="EC169" i="8"/>
  <c r="EC174" i="8" s="1"/>
  <c r="EB169" i="8"/>
  <c r="EB172" i="8" s="1"/>
  <c r="EA169" i="8"/>
  <c r="DZ169" i="8"/>
  <c r="DY169" i="8"/>
  <c r="DX169" i="8"/>
  <c r="DX172" i="8" s="1"/>
  <c r="DW169" i="8"/>
  <c r="DW172" i="8" s="1"/>
  <c r="DV169" i="8"/>
  <c r="DV172" i="8" s="1"/>
  <c r="DU169" i="8"/>
  <c r="DU172" i="8" s="1"/>
  <c r="DT169" i="8"/>
  <c r="DT172" i="8" s="1"/>
  <c r="DS169" i="8"/>
  <c r="DR169" i="8"/>
  <c r="DQ169" i="8"/>
  <c r="DQ172" i="8" s="1"/>
  <c r="DP169" i="8"/>
  <c r="DP172" i="8" s="1"/>
  <c r="DO169" i="8"/>
  <c r="DN169" i="8"/>
  <c r="DM169" i="8"/>
  <c r="DL169" i="8"/>
  <c r="DL172" i="8" s="1"/>
  <c r="DK169" i="8"/>
  <c r="DK172" i="8" s="1"/>
  <c r="DJ169" i="8"/>
  <c r="DJ172" i="8" s="1"/>
  <c r="DI169" i="8"/>
  <c r="DI172" i="8" s="1"/>
  <c r="DH169" i="8"/>
  <c r="DH172" i="8" s="1"/>
  <c r="DG169" i="8"/>
  <c r="DF169" i="8"/>
  <c r="DE169" i="8"/>
  <c r="DE172" i="8" s="1"/>
  <c r="DD169" i="8"/>
  <c r="DD172" i="8" s="1"/>
  <c r="DC169" i="8"/>
  <c r="DB169" i="8"/>
  <c r="DA169" i="8"/>
  <c r="CZ169" i="8"/>
  <c r="CZ172" i="8" s="1"/>
  <c r="CY169" i="8"/>
  <c r="CY172" i="8" s="1"/>
  <c r="CX169" i="8"/>
  <c r="CX172" i="8" s="1"/>
  <c r="CW169" i="8"/>
  <c r="CW172" i="8" s="1"/>
  <c r="CV169" i="8"/>
  <c r="CV172" i="8" s="1"/>
  <c r="CU169" i="8"/>
  <c r="CT169" i="8"/>
  <c r="CS169" i="8"/>
  <c r="CS174" i="8" s="1"/>
  <c r="CR169" i="8"/>
  <c r="CR172" i="8" s="1"/>
  <c r="CQ169" i="8"/>
  <c r="CP169" i="8"/>
  <c r="CO169" i="8"/>
  <c r="CN169" i="8"/>
  <c r="CN172" i="8" s="1"/>
  <c r="CM169" i="8"/>
  <c r="CM172" i="8" s="1"/>
  <c r="CL169" i="8"/>
  <c r="CL172" i="8" s="1"/>
  <c r="CK169" i="8"/>
  <c r="CK172" i="8" s="1"/>
  <c r="CJ169" i="8"/>
  <c r="CJ172" i="8" s="1"/>
  <c r="CI169" i="8"/>
  <c r="CH169" i="8"/>
  <c r="CG169" i="8"/>
  <c r="CG174" i="8" s="1"/>
  <c r="CF169" i="8"/>
  <c r="CF172" i="8" s="1"/>
  <c r="CE169" i="8"/>
  <c r="CD169" i="8"/>
  <c r="CC169" i="8"/>
  <c r="CB169" i="8"/>
  <c r="CB172" i="8" s="1"/>
  <c r="CA169" i="8"/>
  <c r="CA172" i="8" s="1"/>
  <c r="BZ169" i="8"/>
  <c r="BZ172" i="8" s="1"/>
  <c r="BY169" i="8"/>
  <c r="BY172" i="8" s="1"/>
  <c r="BX169" i="8"/>
  <c r="BX172" i="8" s="1"/>
  <c r="BW169" i="8"/>
  <c r="BV169" i="8"/>
  <c r="BV174" i="8" s="1"/>
  <c r="BU169" i="8"/>
  <c r="BU172" i="8" s="1"/>
  <c r="BT169" i="8"/>
  <c r="BT172" i="8" s="1"/>
  <c r="BS169" i="8"/>
  <c r="BR169" i="8"/>
  <c r="BQ169" i="8"/>
  <c r="BP169" i="8"/>
  <c r="BP172" i="8" s="1"/>
  <c r="BO169" i="8"/>
  <c r="BO172" i="8" s="1"/>
  <c r="BN169" i="8"/>
  <c r="BN172" i="8" s="1"/>
  <c r="BM169" i="8"/>
  <c r="BM172" i="8" s="1"/>
  <c r="BL169" i="8"/>
  <c r="BL172" i="8" s="1"/>
  <c r="BK169" i="8"/>
  <c r="BJ169" i="8"/>
  <c r="BJ174" i="8" s="1"/>
  <c r="BI169" i="8"/>
  <c r="BI174" i="8" s="1"/>
  <c r="BH169" i="8"/>
  <c r="BH172" i="8" s="1"/>
  <c r="BG169" i="8"/>
  <c r="BF169" i="8"/>
  <c r="BE169" i="8"/>
  <c r="BD169" i="8"/>
  <c r="BD172" i="8" s="1"/>
  <c r="BC169" i="8"/>
  <c r="BC172" i="8" s="1"/>
  <c r="BB169" i="8"/>
  <c r="BB172" i="8" s="1"/>
  <c r="BA169" i="8"/>
  <c r="BA172" i="8" s="1"/>
  <c r="AZ169" i="8"/>
  <c r="AZ172" i="8" s="1"/>
  <c r="AY169" i="8"/>
  <c r="AX169" i="8"/>
  <c r="AX174" i="8" s="1"/>
  <c r="AW169" i="8"/>
  <c r="AW174" i="8" s="1"/>
  <c r="AV169" i="8"/>
  <c r="AV172" i="8" s="1"/>
  <c r="AU169" i="8"/>
  <c r="AT169" i="8"/>
  <c r="AS169" i="8"/>
  <c r="AR169" i="8"/>
  <c r="AR172" i="8" s="1"/>
  <c r="AQ169" i="8"/>
  <c r="AQ172" i="8" s="1"/>
  <c r="AP169" i="8"/>
  <c r="AP172" i="8" s="1"/>
  <c r="AO169" i="8"/>
  <c r="AO172" i="8" s="1"/>
  <c r="AN169" i="8"/>
  <c r="AN172" i="8" s="1"/>
  <c r="AM169" i="8"/>
  <c r="AL169" i="8"/>
  <c r="AL174" i="8" s="1"/>
  <c r="AK169" i="8"/>
  <c r="AK172" i="8" s="1"/>
  <c r="AJ169" i="8"/>
  <c r="AJ172" i="8" s="1"/>
  <c r="AI169" i="8"/>
  <c r="AH169" i="8"/>
  <c r="AG169" i="8"/>
  <c r="AF169" i="8"/>
  <c r="AF172" i="8" s="1"/>
  <c r="AE169" i="8"/>
  <c r="AE172" i="8" s="1"/>
  <c r="AD169" i="8"/>
  <c r="AD172" i="8" s="1"/>
  <c r="AC169" i="8"/>
  <c r="AC172" i="8" s="1"/>
  <c r="AB169" i="8"/>
  <c r="AB172" i="8" s="1"/>
  <c r="AA169" i="8"/>
  <c r="Z169" i="8"/>
  <c r="Z174" i="8" s="1"/>
  <c r="Y169" i="8"/>
  <c r="Y174" i="8" s="1"/>
  <c r="X169" i="8"/>
  <c r="X172" i="8" s="1"/>
  <c r="W169" i="8"/>
  <c r="V169" i="8"/>
  <c r="U169" i="8"/>
  <c r="T169" i="8"/>
  <c r="T172" i="8" s="1"/>
  <c r="S169" i="8"/>
  <c r="S172" i="8" s="1"/>
  <c r="R169" i="8"/>
  <c r="R172" i="8" s="1"/>
  <c r="Q169" i="8"/>
  <c r="Q172" i="8" s="1"/>
  <c r="P169" i="8"/>
  <c r="P172" i="8" s="1"/>
  <c r="O169" i="8"/>
  <c r="N169" i="8"/>
  <c r="N174" i="8" s="1"/>
  <c r="M169" i="8"/>
  <c r="M174" i="8" s="1"/>
  <c r="L169" i="8"/>
  <c r="L172" i="8" s="1"/>
  <c r="K169" i="8"/>
  <c r="J169" i="8"/>
  <c r="I169" i="8"/>
  <c r="H169" i="8"/>
  <c r="H172" i="8" s="1"/>
  <c r="G169" i="8"/>
  <c r="G172" i="8" s="1"/>
  <c r="EU167" i="8"/>
  <c r="ET167" i="8"/>
  <c r="ES167" i="8"/>
  <c r="ER167" i="8"/>
  <c r="EQ167" i="8"/>
  <c r="EP167" i="8"/>
  <c r="EO167" i="8"/>
  <c r="EN167" i="8"/>
  <c r="EM167" i="8"/>
  <c r="EL167" i="8"/>
  <c r="EK167" i="8"/>
  <c r="EJ167" i="8"/>
  <c r="EI167" i="8"/>
  <c r="EH167" i="8"/>
  <c r="EG167" i="8"/>
  <c r="EF167" i="8"/>
  <c r="EE167" i="8"/>
  <c r="ED167" i="8"/>
  <c r="EC167" i="8"/>
  <c r="EB167" i="8"/>
  <c r="EA167" i="8"/>
  <c r="DZ167" i="8"/>
  <c r="DY167" i="8"/>
  <c r="DX167" i="8"/>
  <c r="DW167" i="8"/>
  <c r="DV167" i="8"/>
  <c r="DU167" i="8"/>
  <c r="DT167" i="8"/>
  <c r="DS167" i="8"/>
  <c r="DR167" i="8"/>
  <c r="DQ167" i="8"/>
  <c r="DP167" i="8"/>
  <c r="DO167" i="8"/>
  <c r="DN167" i="8"/>
  <c r="DM167" i="8"/>
  <c r="DL167" i="8"/>
  <c r="DK167" i="8"/>
  <c r="DJ167" i="8"/>
  <c r="DI167" i="8"/>
  <c r="DH167" i="8"/>
  <c r="DG167" i="8"/>
  <c r="DF167" i="8"/>
  <c r="DE167" i="8"/>
  <c r="DD167" i="8"/>
  <c r="DC167" i="8"/>
  <c r="DB167" i="8"/>
  <c r="DA167" i="8"/>
  <c r="CZ167" i="8"/>
  <c r="CY167" i="8"/>
  <c r="CX167" i="8"/>
  <c r="CW167" i="8"/>
  <c r="CV167" i="8"/>
  <c r="CU167" i="8"/>
  <c r="CT167" i="8"/>
  <c r="CS167" i="8"/>
  <c r="CR167" i="8"/>
  <c r="CQ167" i="8"/>
  <c r="CP167" i="8"/>
  <c r="CO167" i="8"/>
  <c r="CN167" i="8"/>
  <c r="CM167" i="8"/>
  <c r="CL167" i="8"/>
  <c r="CK167" i="8"/>
  <c r="CJ167" i="8"/>
  <c r="CI167" i="8"/>
  <c r="CH167" i="8"/>
  <c r="CG167" i="8"/>
  <c r="CF167" i="8"/>
  <c r="CE167" i="8"/>
  <c r="CD167" i="8"/>
  <c r="CC167" i="8"/>
  <c r="CB167" i="8"/>
  <c r="CA167" i="8"/>
  <c r="BZ167" i="8"/>
  <c r="BY167" i="8"/>
  <c r="BX167" i="8"/>
  <c r="BW167" i="8"/>
  <c r="BV167" i="8"/>
  <c r="BU167" i="8"/>
  <c r="BT167" i="8"/>
  <c r="BS167" i="8"/>
  <c r="BR167" i="8"/>
  <c r="BQ167" i="8"/>
  <c r="BP167" i="8"/>
  <c r="BO167" i="8"/>
  <c r="BN167" i="8"/>
  <c r="BM167" i="8"/>
  <c r="BL167" i="8"/>
  <c r="BK167" i="8"/>
  <c r="BJ167" i="8"/>
  <c r="BI167" i="8"/>
  <c r="BH167" i="8"/>
  <c r="BG167" i="8"/>
  <c r="BF167" i="8"/>
  <c r="BE167" i="8"/>
  <c r="BD167" i="8"/>
  <c r="BC167" i="8"/>
  <c r="BB167" i="8"/>
  <c r="BA167" i="8"/>
  <c r="AZ167" i="8"/>
  <c r="AY167" i="8"/>
  <c r="AX167" i="8"/>
  <c r="AW167" i="8"/>
  <c r="AV167" i="8"/>
  <c r="AU167" i="8"/>
  <c r="AT167" i="8"/>
  <c r="AS167" i="8"/>
  <c r="AR167" i="8"/>
  <c r="AQ167" i="8"/>
  <c r="AP167" i="8"/>
  <c r="AO167" i="8"/>
  <c r="AN167" i="8"/>
  <c r="AM167" i="8"/>
  <c r="AL167" i="8"/>
  <c r="AK167" i="8"/>
  <c r="AJ167" i="8"/>
  <c r="AI167" i="8"/>
  <c r="AH167" i="8"/>
  <c r="AG167" i="8"/>
  <c r="AF167" i="8"/>
  <c r="AE167" i="8"/>
  <c r="AD167" i="8"/>
  <c r="AC167" i="8"/>
  <c r="AB167" i="8"/>
  <c r="AA167" i="8"/>
  <c r="Z167" i="8"/>
  <c r="Y167" i="8"/>
  <c r="X167" i="8"/>
  <c r="W167" i="8"/>
  <c r="V167" i="8"/>
  <c r="U167" i="8"/>
  <c r="T167" i="8"/>
  <c r="S167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K172" i="8" l="1"/>
  <c r="W172" i="8"/>
  <c r="AI172" i="8"/>
  <c r="AU172" i="8"/>
  <c r="BG172" i="8"/>
  <c r="BS172" i="8"/>
  <c r="CE172" i="8"/>
  <c r="CQ172" i="8"/>
  <c r="DC172" i="8"/>
  <c r="DO172" i="8"/>
  <c r="EA172" i="8"/>
  <c r="EM172" i="8"/>
  <c r="EN172" i="8"/>
  <c r="M172" i="8"/>
  <c r="AW172" i="8"/>
  <c r="CS172" i="8"/>
  <c r="DQ174" i="8"/>
  <c r="AM172" i="8"/>
  <c r="AY172" i="8"/>
  <c r="CI172" i="8"/>
  <c r="CU172" i="8"/>
  <c r="EE172" i="8"/>
  <c r="AA174" i="8"/>
  <c r="BK174" i="8"/>
  <c r="Y172" i="8"/>
  <c r="BI172" i="8"/>
  <c r="CG172" i="8"/>
  <c r="EO172" i="8"/>
  <c r="AK174" i="8"/>
  <c r="BU174" i="8"/>
  <c r="DE174" i="8"/>
  <c r="BW172" i="8"/>
  <c r="DS172" i="8"/>
  <c r="O174" i="8"/>
  <c r="DG174" i="8"/>
  <c r="EQ174" i="8"/>
  <c r="EC172" i="8"/>
  <c r="A4" i="1"/>
  <c r="E4" i="1" l="1"/>
  <c r="C4" i="1"/>
  <c r="A5" i="1"/>
  <c r="E5" i="1" l="1"/>
  <c r="C5" i="1"/>
  <c r="A6" i="1"/>
  <c r="E6" i="1" l="1"/>
  <c r="C6" i="1"/>
  <c r="A7" i="1"/>
  <c r="E7" i="1" l="1"/>
  <c r="C7" i="1"/>
  <c r="A8" i="1"/>
  <c r="C8" i="1" l="1"/>
  <c r="E8" i="1"/>
  <c r="A9" i="1"/>
  <c r="E9" i="1" l="1"/>
  <c r="C9" i="1"/>
  <c r="A10" i="1"/>
  <c r="C10" i="1" l="1"/>
  <c r="E10" i="1"/>
  <c r="A11" i="1"/>
  <c r="C11" i="1" l="1"/>
  <c r="E11" i="1"/>
  <c r="A12" i="1"/>
  <c r="E12" i="1" l="1"/>
  <c r="C12" i="1"/>
  <c r="A13" i="1"/>
  <c r="E13" i="1" l="1"/>
  <c r="C13" i="1"/>
  <c r="A14" i="1"/>
  <c r="C14" i="1" l="1"/>
  <c r="E14" i="1"/>
  <c r="A15" i="1"/>
  <c r="C15" i="1" l="1"/>
  <c r="E15" i="1"/>
  <c r="A16" i="1"/>
  <c r="E16" i="1" l="1"/>
  <c r="C16" i="1"/>
  <c r="A17" i="1"/>
  <c r="E17" i="1" l="1"/>
  <c r="C17" i="1"/>
  <c r="A18" i="1"/>
  <c r="E18" i="1" l="1"/>
  <c r="C18" i="1"/>
  <c r="A19" i="1"/>
  <c r="E19" i="1" l="1"/>
  <c r="C19" i="1"/>
  <c r="A20" i="1"/>
  <c r="C20" i="1" l="1"/>
  <c r="E20" i="1"/>
  <c r="A21" i="1"/>
  <c r="E21" i="1" l="1"/>
  <c r="C21" i="1"/>
  <c r="A22" i="1"/>
  <c r="E22" i="1" l="1"/>
  <c r="C22" i="1"/>
  <c r="A23" i="1"/>
  <c r="E23" i="1" l="1"/>
  <c r="C23" i="1"/>
  <c r="A24" i="1"/>
  <c r="E24" i="1" l="1"/>
  <c r="C24" i="1"/>
  <c r="A25" i="1"/>
  <c r="E25" i="1" l="1"/>
  <c r="C25" i="1"/>
  <c r="A26" i="1"/>
  <c r="C26" i="1" l="1"/>
  <c r="E26" i="1"/>
  <c r="A27" i="1"/>
  <c r="E27" i="1" l="1"/>
  <c r="C27" i="1"/>
  <c r="A28" i="1"/>
  <c r="C28" i="1" l="1"/>
  <c r="E28" i="1"/>
  <c r="A29" i="1"/>
  <c r="C29" i="1" l="1"/>
  <c r="E29" i="1"/>
  <c r="A30" i="1"/>
  <c r="E30" i="1" l="1"/>
  <c r="C30" i="1"/>
  <c r="A31" i="1"/>
  <c r="E31" i="1" l="1"/>
  <c r="C31" i="1"/>
  <c r="A32" i="1"/>
  <c r="C32" i="1" l="1"/>
  <c r="E32" i="1"/>
  <c r="A33" i="1"/>
  <c r="E33" i="1" l="1"/>
  <c r="C33" i="1"/>
  <c r="A34" i="1"/>
  <c r="E34" i="1" l="1"/>
  <c r="C34" i="1"/>
  <c r="A35" i="1"/>
  <c r="E35" i="1" l="1"/>
  <c r="C35" i="1"/>
  <c r="A36" i="1"/>
  <c r="E36" i="1" l="1"/>
  <c r="C36" i="1"/>
  <c r="A37" i="1"/>
  <c r="E37" i="1" l="1"/>
  <c r="C37" i="1"/>
  <c r="A38" i="1"/>
  <c r="C38" i="1" l="1"/>
  <c r="E38" i="1"/>
  <c r="A39" i="1"/>
  <c r="E39" i="1" l="1"/>
  <c r="C39" i="1"/>
  <c r="A40" i="1"/>
  <c r="E40" i="1" l="1"/>
  <c r="C40" i="1"/>
  <c r="A41" i="1"/>
  <c r="C41" i="1" l="1"/>
  <c r="E41" i="1"/>
  <c r="A42" i="1"/>
  <c r="E42" i="1" l="1"/>
  <c r="E161" i="1" s="1"/>
  <c r="C42" i="1"/>
  <c r="E165" i="1" s="1"/>
  <c r="G147" i="3"/>
  <c r="G89" i="3"/>
  <c r="G115" i="3"/>
  <c r="E172" i="1"/>
  <c r="E173" i="1"/>
  <c r="E174" i="1" s="1"/>
  <c r="E175" i="1" s="1"/>
  <c r="E166" i="1"/>
  <c r="E176" i="1" l="1"/>
  <c r="E167" i="1"/>
  <c r="E168" i="1" s="1"/>
  <c r="E177" i="1" l="1"/>
  <c r="F20" i="1" s="1"/>
  <c r="G19" i="3" s="1"/>
  <c r="F8" i="1"/>
  <c r="G7" i="3" s="1"/>
  <c r="F32" i="1"/>
  <c r="G31" i="3" s="1"/>
  <c r="F33" i="1"/>
  <c r="F30" i="1"/>
  <c r="G29" i="3" s="1"/>
  <c r="F31" i="1"/>
  <c r="G30" i="3" s="1"/>
  <c r="F41" i="1"/>
  <c r="G40" i="3" s="1"/>
  <c r="F42" i="1"/>
  <c r="G41" i="3" s="1"/>
  <c r="F13" i="1"/>
  <c r="G12" i="3" s="1"/>
  <c r="F37" i="1"/>
  <c r="G36" i="3" s="1"/>
  <c r="F29" i="1"/>
  <c r="G28" i="3" s="1"/>
  <c r="F18" i="1"/>
  <c r="G17" i="3" s="1"/>
  <c r="F14" i="1"/>
  <c r="F19" i="1"/>
  <c r="G18" i="3" s="1"/>
  <c r="F15" i="1"/>
  <c r="G14" i="3" s="1"/>
  <c r="F159" i="1"/>
  <c r="F7" i="1"/>
  <c r="G6" i="3" s="1"/>
  <c r="F24" i="1"/>
  <c r="G23" i="3" s="1"/>
  <c r="F10" i="1"/>
  <c r="G9" i="3" s="1"/>
  <c r="F16" i="1"/>
  <c r="G15" i="3" s="1"/>
  <c r="F28" i="1"/>
  <c r="G27" i="3" s="1"/>
  <c r="F35" i="1"/>
  <c r="G34" i="3" s="1"/>
  <c r="F22" i="1"/>
  <c r="G21" i="3" s="1"/>
  <c r="F6" i="1"/>
  <c r="G5" i="3" s="1"/>
  <c r="G13" i="3"/>
  <c r="G32" i="3"/>
  <c r="E169" i="1"/>
  <c r="F34" i="1" l="1"/>
  <c r="G33" i="3" s="1"/>
  <c r="F38" i="1"/>
  <c r="G37" i="3" s="1"/>
  <c r="F36" i="1"/>
  <c r="G35" i="3" s="1"/>
  <c r="F12" i="1"/>
  <c r="G11" i="3" s="1"/>
  <c r="F43" i="1"/>
  <c r="G42" i="3" s="1"/>
  <c r="F5" i="1"/>
  <c r="G4" i="3" s="1"/>
  <c r="F23" i="1"/>
  <c r="G22" i="3" s="1"/>
  <c r="F39" i="1"/>
  <c r="G38" i="3" s="1"/>
  <c r="F9" i="1"/>
  <c r="G8" i="3" s="1"/>
  <c r="F4" i="1"/>
  <c r="G3" i="3" s="1"/>
  <c r="F27" i="1"/>
  <c r="G26" i="3" s="1"/>
  <c r="F3" i="1"/>
  <c r="G2" i="3" s="1"/>
  <c r="F40" i="1"/>
  <c r="G39" i="3" s="1"/>
  <c r="F26" i="1"/>
  <c r="G25" i="3" s="1"/>
  <c r="F21" i="1"/>
  <c r="G20" i="3" s="1"/>
  <c r="F11" i="1"/>
  <c r="G10" i="3" s="1"/>
  <c r="F17" i="1"/>
  <c r="G16" i="3" s="1"/>
  <c r="F25" i="1"/>
  <c r="G24" i="3" s="1"/>
  <c r="E170" i="1"/>
  <c r="F152" i="1" s="1"/>
  <c r="G154" i="3" s="1"/>
  <c r="F44" i="1"/>
  <c r="F56" i="1"/>
  <c r="G55" i="3" s="1"/>
  <c r="F68" i="1"/>
  <c r="G67" i="3" s="1"/>
  <c r="F105" i="1"/>
  <c r="G105" i="3" s="1"/>
  <c r="F129" i="1"/>
  <c r="G130" i="3" s="1"/>
  <c r="F153" i="1"/>
  <c r="G155" i="3" s="1"/>
  <c r="F90" i="1"/>
  <c r="G90" i="3" s="1"/>
  <c r="F67" i="1"/>
  <c r="G66" i="3" s="1"/>
  <c r="F151" i="1"/>
  <c r="G153" i="3" s="1"/>
  <c r="F125" i="1"/>
  <c r="G126" i="3" s="1"/>
  <c r="F84" i="1"/>
  <c r="G83" i="3" s="1"/>
  <c r="F96" i="1"/>
  <c r="G96" i="3" s="1"/>
  <c r="F108" i="1"/>
  <c r="G108" i="3" s="1"/>
  <c r="F120" i="1"/>
  <c r="G121" i="3" s="1"/>
  <c r="G158" i="3"/>
  <c r="F49" i="1"/>
  <c r="G48" i="3" s="1"/>
  <c r="F61" i="1"/>
  <c r="G60" i="3" s="1"/>
  <c r="F73" i="1"/>
  <c r="G72" i="3" s="1"/>
  <c r="F85" i="1"/>
  <c r="G84" i="3" s="1"/>
  <c r="F146" i="1"/>
  <c r="G148" i="3" s="1"/>
  <c r="F75" i="1"/>
  <c r="G74" i="3" s="1"/>
  <c r="F87" i="1"/>
  <c r="G86" i="3" s="1"/>
  <c r="F99" i="1"/>
  <c r="G99" i="3" s="1"/>
  <c r="F157" i="1"/>
  <c r="G160" i="3" s="1"/>
  <c r="F51" i="1"/>
  <c r="G50" i="3" s="1"/>
  <c r="F147" i="1"/>
  <c r="G149" i="3" s="1"/>
  <c r="F89" i="1"/>
  <c r="G88" i="3" s="1"/>
  <c r="F88" i="1"/>
  <c r="F94" i="1"/>
  <c r="G94" i="3" s="1"/>
  <c r="F119" i="1"/>
  <c r="G120" i="3" s="1"/>
  <c r="F47" i="1"/>
  <c r="G46" i="3" s="1"/>
  <c r="F59" i="1"/>
  <c r="G58" i="3" s="1"/>
  <c r="F58" i="1"/>
  <c r="G57" i="3" s="1"/>
  <c r="F130" i="1"/>
  <c r="G131" i="3" s="1"/>
  <c r="F71" i="1"/>
  <c r="G70" i="3" s="1"/>
  <c r="G43" i="3"/>
  <c r="G87" i="3"/>
  <c r="G161" i="3"/>
  <c r="F136" i="1" l="1"/>
  <c r="G137" i="3" s="1"/>
  <c r="F143" i="1"/>
  <c r="G144" i="3" s="1"/>
  <c r="F137" i="1"/>
  <c r="G138" i="3" s="1"/>
  <c r="F65" i="1"/>
  <c r="G64" i="3" s="1"/>
  <c r="F109" i="1"/>
  <c r="G109" i="3" s="1"/>
  <c r="F144" i="1"/>
  <c r="G145" i="3" s="1"/>
  <c r="F55" i="1"/>
  <c r="G54" i="3" s="1"/>
  <c r="F78" i="1"/>
  <c r="G77" i="3" s="1"/>
  <c r="F92" i="1"/>
  <c r="G92" i="3" s="1"/>
  <c r="F64" i="1"/>
  <c r="G63" i="3" s="1"/>
  <c r="F106" i="1"/>
  <c r="G106" i="3" s="1"/>
  <c r="F91" i="1"/>
  <c r="G91" i="3" s="1"/>
  <c r="F111" i="1"/>
  <c r="G111" i="3" s="1"/>
  <c r="F97" i="1"/>
  <c r="G97" i="3" s="1"/>
  <c r="F132" i="1"/>
  <c r="G133" i="3" s="1"/>
  <c r="F54" i="1"/>
  <c r="G53" i="3" s="1"/>
  <c r="F101" i="1"/>
  <c r="G101" i="3" s="1"/>
  <c r="F80" i="1"/>
  <c r="G79" i="3" s="1"/>
  <c r="F131" i="1"/>
  <c r="G132" i="3" s="1"/>
  <c r="F53" i="1"/>
  <c r="G52" i="3" s="1"/>
  <c r="F148" i="1"/>
  <c r="G150" i="3" s="1"/>
  <c r="F98" i="1"/>
  <c r="G98" i="3" s="1"/>
  <c r="F60" i="1"/>
  <c r="G59" i="3" s="1"/>
  <c r="F141" i="1"/>
  <c r="G142" i="3" s="1"/>
  <c r="F45" i="1"/>
  <c r="G44" i="3" s="1"/>
  <c r="F69" i="1"/>
  <c r="G68" i="3" s="1"/>
  <c r="F62" i="1"/>
  <c r="G61" i="3" s="1"/>
  <c r="F117" i="1"/>
  <c r="G118" i="3" s="1"/>
  <c r="F81" i="1"/>
  <c r="G80" i="3" s="1"/>
  <c r="F124" i="1"/>
  <c r="G125" i="3" s="1"/>
  <c r="F155" i="1"/>
  <c r="G157" i="3" s="1"/>
  <c r="F110" i="1"/>
  <c r="G110" i="3" s="1"/>
  <c r="F122" i="1"/>
  <c r="G123" i="3" s="1"/>
  <c r="F139" i="1"/>
  <c r="G140" i="3" s="1"/>
  <c r="F72" i="1"/>
  <c r="G71" i="3" s="1"/>
  <c r="F52" i="1"/>
  <c r="G51" i="3" s="1"/>
  <c r="F154" i="1"/>
  <c r="G156" i="3" s="1"/>
  <c r="F74" i="1"/>
  <c r="G73" i="3" s="1"/>
  <c r="F126" i="1"/>
  <c r="G127" i="3" s="1"/>
  <c r="F107" i="1"/>
  <c r="G107" i="3" s="1"/>
  <c r="F83" i="1"/>
  <c r="G82" i="3" s="1"/>
  <c r="F82" i="1"/>
  <c r="G81" i="3" s="1"/>
  <c r="F86" i="1"/>
  <c r="G85" i="3" s="1"/>
  <c r="F135" i="1"/>
  <c r="G136" i="3" s="1"/>
  <c r="F48" i="1"/>
  <c r="G47" i="3" s="1"/>
  <c r="F140" i="1"/>
  <c r="G141" i="3" s="1"/>
  <c r="F142" i="1"/>
  <c r="G143" i="3" s="1"/>
  <c r="F118" i="1"/>
  <c r="G119" i="3" s="1"/>
  <c r="F76" i="1"/>
  <c r="G75" i="3" s="1"/>
  <c r="F114" i="1"/>
  <c r="G114" i="3" s="1"/>
  <c r="F156" i="1"/>
  <c r="G159" i="3" s="1"/>
  <c r="F63" i="1"/>
  <c r="G62" i="3" s="1"/>
  <c r="F115" i="1"/>
  <c r="G116" i="3" s="1"/>
  <c r="F57" i="1"/>
  <c r="G56" i="3" s="1"/>
  <c r="F128" i="1"/>
  <c r="G129" i="3" s="1"/>
  <c r="F70" i="1"/>
  <c r="G69" i="3" s="1"/>
  <c r="F46" i="1"/>
  <c r="G45" i="3" s="1"/>
  <c r="F79" i="1"/>
  <c r="G78" i="3" s="1"/>
  <c r="F149" i="1"/>
  <c r="G151" i="3" s="1"/>
  <c r="F145" i="1"/>
  <c r="G146" i="3" s="1"/>
  <c r="F134" i="1"/>
  <c r="G135" i="3" s="1"/>
  <c r="F77" i="1"/>
  <c r="G76" i="3" s="1"/>
  <c r="F103" i="1"/>
  <c r="G103" i="3" s="1"/>
  <c r="F116" i="1"/>
  <c r="G117" i="3" s="1"/>
  <c r="F95" i="1"/>
  <c r="G95" i="3" s="1"/>
  <c r="F112" i="1"/>
  <c r="G112" i="3" s="1"/>
  <c r="F66" i="1"/>
  <c r="G65" i="3" s="1"/>
  <c r="F113" i="1"/>
  <c r="G113" i="3" s="1"/>
  <c r="F133" i="1"/>
  <c r="G134" i="3" s="1"/>
  <c r="F127" i="1"/>
  <c r="G128" i="3" s="1"/>
  <c r="F138" i="1"/>
  <c r="G139" i="3" s="1"/>
  <c r="F104" i="1"/>
  <c r="G104" i="3" s="1"/>
  <c r="F100" i="1"/>
  <c r="G100" i="3" s="1"/>
  <c r="F102" i="1"/>
  <c r="G102" i="3" s="1"/>
  <c r="F123" i="1"/>
  <c r="G124" i="3" s="1"/>
  <c r="F121" i="1"/>
  <c r="G122" i="3" s="1"/>
  <c r="F50" i="1"/>
  <c r="G49" i="3" s="1"/>
  <c r="F150" i="1"/>
  <c r="G152" i="3" s="1"/>
  <c r="F93" i="1"/>
  <c r="G93" i="3" s="1"/>
  <c r="F1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Frost, Dale</author>
  </authors>
  <commentList>
    <comment ref="E156" authorId="0" shapeId="0" xr:uid="{475CACCF-045B-4E71-8D2E-F9EE317C8F8A}">
      <text>
        <r>
          <rPr>
            <b/>
            <sz val="9"/>
            <color indexed="81"/>
            <rFont val="Tahoma"/>
            <family val="2"/>
          </rPr>
          <t>Frost, Dale:</t>
        </r>
        <r>
          <rPr>
            <sz val="9"/>
            <color indexed="81"/>
            <rFont val="Tahoma"/>
            <family val="2"/>
          </rPr>
          <t xml:space="preserve">
New charter school. Will have allocation updated in the MY Update. </t>
        </r>
      </text>
    </comment>
    <comment ref="E157" authorId="0" shapeId="0" xr:uid="{B9324C85-775A-4F9C-9C03-D9497550A985}">
      <text>
        <r>
          <rPr>
            <b/>
            <sz val="9"/>
            <color indexed="81"/>
            <rFont val="Tahoma"/>
            <family val="2"/>
          </rPr>
          <t>Frost, Dale:</t>
        </r>
        <r>
          <rPr>
            <sz val="9"/>
            <color indexed="81"/>
            <rFont val="Tahoma"/>
            <family val="2"/>
          </rPr>
          <t xml:space="preserve">
New charter school. Will have allocation updated in the MY Update. </t>
        </r>
      </text>
    </comment>
    <comment ref="E159" authorId="0" shapeId="0" xr:uid="{5442226C-236C-497E-9AC0-B5629AE811C8}">
      <text>
        <r>
          <rPr>
            <b/>
            <sz val="9"/>
            <color indexed="81"/>
            <rFont val="Tahoma"/>
            <family val="2"/>
          </rPr>
          <t>Frost, Dale:</t>
        </r>
        <r>
          <rPr>
            <sz val="9"/>
            <color indexed="81"/>
            <rFont val="Tahoma"/>
            <family val="2"/>
          </rPr>
          <t xml:space="preserve">
USDB's two-year prior K-12 plus SC ADM mulitiplied by two.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Frost, Dale</author>
  </authors>
  <commentList>
    <comment ref="C155" authorId="0" shapeId="0" xr:uid="{75D53418-A65F-41BE-AC6F-2B168735B2DB}">
      <text>
        <r>
          <rPr>
            <b/>
            <sz val="9"/>
            <color indexed="81"/>
            <rFont val="Tahoma"/>
            <family val="2"/>
          </rPr>
          <t>Frost, Dale:</t>
        </r>
        <r>
          <rPr>
            <sz val="9"/>
            <color indexed="81"/>
            <rFont val="Tahoma"/>
            <family val="2"/>
          </rPr>
          <t xml:space="preserve">
Combining with APA (ID: 74). Combined all of the data under APA's ID (74). </t>
        </r>
      </text>
    </comment>
  </commentList>
</comments>
</file>

<file path=xl/sharedStrings.xml><?xml version="1.0" encoding="utf-8"?>
<sst xmlns="http://schemas.openxmlformats.org/spreadsheetml/2006/main" count="2261" uniqueCount="771">
  <si>
    <t>Alpine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</si>
  <si>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</si>
  <si>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</si>
  <si>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</si>
  <si>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</si>
  <si>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</si>
  <si>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</si>
  <si>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</si>
  <si>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</si>
  <si>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</si>
  <si>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</si>
  <si>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</si>
  <si>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</si>
  <si>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</si>
  <si>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</si>
  <si>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</si>
  <si>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Millard</t>
  </si>
  <si>
    <t>Morgan</t>
  </si>
  <si>
    <t>Nebo</t>
  </si>
  <si>
    <t>North Sanpete</t>
  </si>
  <si>
    <t>North Summit</t>
  </si>
  <si>
    <t>Park City</t>
  </si>
  <si>
    <t>Piute</t>
  </si>
  <si>
    <t>Rich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</si>
  <si>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</si>
  <si>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</si>
  <si>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</si>
  <si>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</si>
  <si>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</si>
  <si>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</si>
  <si>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</si>
  <si>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</si>
  <si>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</si>
  <si>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</si>
  <si>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</si>
  <si>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Salt Lake</t>
  </si>
  <si>
    <t>Ogden</t>
  </si>
  <si>
    <t>Provo</t>
  </si>
  <si>
    <t>Logan</t>
  </si>
  <si>
    <t>Murray</t>
  </si>
  <si>
    <t>Canyons</t>
  </si>
  <si>
    <t>LEA ID</t>
  </si>
  <si>
    <t>Ogden Preparatory Academy</t>
  </si>
  <si>
    <t>American Preparatory Academy</t>
  </si>
  <si>
    <t>Walden School of Liberal Arts</t>
  </si>
  <si>
    <t>Freedom Preparatory Academy</t>
  </si>
  <si>
    <t>Acad for Math Engineering Sci</t>
  </si>
  <si>
    <t>Pinnacle Canyon Academy</t>
  </si>
  <si>
    <t>City Academy</t>
  </si>
  <si>
    <t>Soldier Hollow Charter School</t>
  </si>
  <si>
    <t>Uintah River High School</t>
  </si>
  <si>
    <t>John Hancock Charter School</t>
  </si>
  <si>
    <t>Thomas Edison Charter School</t>
  </si>
  <si>
    <t>Timpanogos Academy</t>
  </si>
  <si>
    <t>Salt Lake Arts Academy</t>
  </si>
  <si>
    <t>Fast Forward Charter HS</t>
  </si>
  <si>
    <t>A1</t>
  </si>
  <si>
    <t>NUAMES</t>
  </si>
  <si>
    <t>A2</t>
  </si>
  <si>
    <t>The Ranches Academy</t>
  </si>
  <si>
    <t>A3</t>
  </si>
  <si>
    <t>DaVinci Acad of Science Arts</t>
  </si>
  <si>
    <t>A4</t>
  </si>
  <si>
    <t>Summit Academy</t>
  </si>
  <si>
    <t>A5</t>
  </si>
  <si>
    <t>Itineris Early College HS</t>
  </si>
  <si>
    <t>A6</t>
  </si>
  <si>
    <t>North Davis Prep Academy</t>
  </si>
  <si>
    <t>A7</t>
  </si>
  <si>
    <t>Moab Charter School</t>
  </si>
  <si>
    <t>A8</t>
  </si>
  <si>
    <t>East Hollywood High School</t>
  </si>
  <si>
    <t>A9</t>
  </si>
  <si>
    <t>SUCCESS Academy</t>
  </si>
  <si>
    <t>1B</t>
  </si>
  <si>
    <t>Utah County Academy of Science</t>
  </si>
  <si>
    <t>2B</t>
  </si>
  <si>
    <t>Lincoln Academy</t>
  </si>
  <si>
    <t>3B</t>
  </si>
  <si>
    <t>Beehive Science Tech Acad</t>
  </si>
  <si>
    <t>4B</t>
  </si>
  <si>
    <t>Wasatch Peak Academy</t>
  </si>
  <si>
    <t>5B</t>
  </si>
  <si>
    <t>North Star Academy</t>
  </si>
  <si>
    <t>7B</t>
  </si>
  <si>
    <t>Ronald Reagan Academy</t>
  </si>
  <si>
    <t>8B</t>
  </si>
  <si>
    <t>American Leadership Academy</t>
  </si>
  <si>
    <t>9B</t>
  </si>
  <si>
    <t>Navigator Pointe Academy</t>
  </si>
  <si>
    <t>1C</t>
  </si>
  <si>
    <t>Odyssey Charter School</t>
  </si>
  <si>
    <t>2C</t>
  </si>
  <si>
    <t>InTech Collegiate High School</t>
  </si>
  <si>
    <t>3C</t>
  </si>
  <si>
    <t>Entheos Academy</t>
  </si>
  <si>
    <t>4C</t>
  </si>
  <si>
    <t>Lakeview Academy</t>
  </si>
  <si>
    <t>5C</t>
  </si>
  <si>
    <t>Legacy Preparatory Academy</t>
  </si>
  <si>
    <t>7C</t>
  </si>
  <si>
    <t>Monticello Academy</t>
  </si>
  <si>
    <t>8C</t>
  </si>
  <si>
    <t>Mountainville Academy</t>
  </si>
  <si>
    <t>9C</t>
  </si>
  <si>
    <t>Paradigm High School</t>
  </si>
  <si>
    <t>1D</t>
  </si>
  <si>
    <t>Renaissance Academy</t>
  </si>
  <si>
    <t>2D</t>
  </si>
  <si>
    <t>Channing Hall</t>
  </si>
  <si>
    <t>3D</t>
  </si>
  <si>
    <t>Spectrum Academy</t>
  </si>
  <si>
    <t>4D</t>
  </si>
  <si>
    <t>Syracuse Arts Academy</t>
  </si>
  <si>
    <t>5D</t>
  </si>
  <si>
    <t>George Washington Academy</t>
  </si>
  <si>
    <t>6D</t>
  </si>
  <si>
    <t>Noah Webster Academy</t>
  </si>
  <si>
    <t>7D</t>
  </si>
  <si>
    <t>8D</t>
  </si>
  <si>
    <t>Open Classroom</t>
  </si>
  <si>
    <t>9D</t>
  </si>
  <si>
    <t>Canyon Rim Academy</t>
  </si>
  <si>
    <t>1E</t>
  </si>
  <si>
    <t>Guadalupe School</t>
  </si>
  <si>
    <t>2E</t>
  </si>
  <si>
    <t>Karl G Maeser Prep Academy</t>
  </si>
  <si>
    <t>3E</t>
  </si>
  <si>
    <t>C.S. Lewis Academy</t>
  </si>
  <si>
    <t>4E</t>
  </si>
  <si>
    <t>Dual Immersion Academy</t>
  </si>
  <si>
    <t>5E</t>
  </si>
  <si>
    <t>Edith Bowen Laboratory School</t>
  </si>
  <si>
    <t>7E</t>
  </si>
  <si>
    <t>Gateway Preparatory Academy</t>
  </si>
  <si>
    <t>8E</t>
  </si>
  <si>
    <t>Merit College Preparatory Acad</t>
  </si>
  <si>
    <t>9E</t>
  </si>
  <si>
    <t>Providence Hall</t>
  </si>
  <si>
    <t>1F</t>
  </si>
  <si>
    <t>Quest Academy</t>
  </si>
  <si>
    <t>2F</t>
  </si>
  <si>
    <t>Rockwell Charter High School</t>
  </si>
  <si>
    <t>3F</t>
  </si>
  <si>
    <t>Venture Academy</t>
  </si>
  <si>
    <t>4F</t>
  </si>
  <si>
    <t>Salt Lake Center Sci Education</t>
  </si>
  <si>
    <t>5F</t>
  </si>
  <si>
    <t>Utah Virtual Academy</t>
  </si>
  <si>
    <t>6F</t>
  </si>
  <si>
    <t>The Early Light Academy</t>
  </si>
  <si>
    <t>7F</t>
  </si>
  <si>
    <t>Excelsior Academy</t>
  </si>
  <si>
    <t>8F</t>
  </si>
  <si>
    <t>Hawthorn Academy</t>
  </si>
  <si>
    <t>9F</t>
  </si>
  <si>
    <t>Mountain Heights Academy</t>
  </si>
  <si>
    <t>1G</t>
  </si>
  <si>
    <t>Jefferson Academy</t>
  </si>
  <si>
    <t>2G</t>
  </si>
  <si>
    <t>Vista Schl Performing Arts</t>
  </si>
  <si>
    <t>3G</t>
  </si>
  <si>
    <t>Bear River Charter School</t>
  </si>
  <si>
    <t>4G</t>
  </si>
  <si>
    <t>Maria Montessori Academy</t>
  </si>
  <si>
    <t>5G</t>
  </si>
  <si>
    <t>Canyon Grove Academy</t>
  </si>
  <si>
    <t>6G</t>
  </si>
  <si>
    <t>Weilenmann School of Discovery</t>
  </si>
  <si>
    <t>7G</t>
  </si>
  <si>
    <t>8G</t>
  </si>
  <si>
    <t>Good Foundations Academy</t>
  </si>
  <si>
    <t>2H</t>
  </si>
  <si>
    <t>Utah Connections Academy</t>
  </si>
  <si>
    <t>3H</t>
  </si>
  <si>
    <t>Endeavor Hall</t>
  </si>
  <si>
    <t>5H</t>
  </si>
  <si>
    <t>HighMark Charter School</t>
  </si>
  <si>
    <t>6H</t>
  </si>
  <si>
    <t>Promontory School</t>
  </si>
  <si>
    <t>7H</t>
  </si>
  <si>
    <t>Pacific Heritage Academy</t>
  </si>
  <si>
    <t>8H</t>
  </si>
  <si>
    <t>Valley Academy</t>
  </si>
  <si>
    <t>1I</t>
  </si>
  <si>
    <t>Utah Intl Charter Schl</t>
  </si>
  <si>
    <t>2I</t>
  </si>
  <si>
    <t>Esperanza Elem Charter School</t>
  </si>
  <si>
    <t>3I</t>
  </si>
  <si>
    <t>Leadership Learning Academy</t>
  </si>
  <si>
    <t>4I</t>
  </si>
  <si>
    <t>Mana Academy Charter School</t>
  </si>
  <si>
    <t>5I</t>
  </si>
  <si>
    <t>Voyage Academy</t>
  </si>
  <si>
    <t>7I</t>
  </si>
  <si>
    <t>8I</t>
  </si>
  <si>
    <t>Winter Sports School</t>
  </si>
  <si>
    <t>9I</t>
  </si>
  <si>
    <t>Utah Career Path High</t>
  </si>
  <si>
    <t>2J</t>
  </si>
  <si>
    <t>Ascent Academies of Utah</t>
  </si>
  <si>
    <t>3J</t>
  </si>
  <si>
    <t>Dixie Montessori Academy</t>
  </si>
  <si>
    <t>5J</t>
  </si>
  <si>
    <t>Mountain West Montessori Acad</t>
  </si>
  <si>
    <t>6J</t>
  </si>
  <si>
    <t>Scholar Academy</t>
  </si>
  <si>
    <t>7J</t>
  </si>
  <si>
    <t>Greenwood</t>
  </si>
  <si>
    <t>8J</t>
  </si>
  <si>
    <t>Terra Academy</t>
  </si>
  <si>
    <t>9J</t>
  </si>
  <si>
    <t>MyOptions</t>
  </si>
  <si>
    <t>1K</t>
  </si>
  <si>
    <t>Vanguard Academy</t>
  </si>
  <si>
    <t>2K</t>
  </si>
  <si>
    <t>Utah Military Academy</t>
  </si>
  <si>
    <t>3K</t>
  </si>
  <si>
    <t>Roots Charter High School</t>
  </si>
  <si>
    <t>4K</t>
  </si>
  <si>
    <t>Athenian eAcademy</t>
  </si>
  <si>
    <t>5K</t>
  </si>
  <si>
    <t>Wasatch Waldorf Academy</t>
  </si>
  <si>
    <t>6K</t>
  </si>
  <si>
    <t>Franklin Discovery Academy</t>
  </si>
  <si>
    <t>7K</t>
  </si>
  <si>
    <t>Wallace Stegner Academy</t>
  </si>
  <si>
    <t>8K</t>
  </si>
  <si>
    <t>American Academy of Innovation</t>
  </si>
  <si>
    <t>9K</t>
  </si>
  <si>
    <t>St. George Academy</t>
  </si>
  <si>
    <t>1L</t>
  </si>
  <si>
    <t>Athlos Academy</t>
  </si>
  <si>
    <t>2L</t>
  </si>
  <si>
    <t>The Center for Creativity, Innovation &amp; Discovery</t>
  </si>
  <si>
    <t>3L</t>
  </si>
  <si>
    <t>Leadership Academy of Utah</t>
  </si>
  <si>
    <t>5L</t>
  </si>
  <si>
    <t>Ignite Entrepreneurship Academy</t>
  </si>
  <si>
    <t>6L</t>
  </si>
  <si>
    <t>Bonneville Academy</t>
  </si>
  <si>
    <t>7L</t>
  </si>
  <si>
    <t>Ivy Preparatory Academy</t>
  </si>
  <si>
    <t>8L</t>
  </si>
  <si>
    <t>Total</t>
  </si>
  <si>
    <t>USDB</t>
  </si>
  <si>
    <t>1M</t>
  </si>
  <si>
    <t>Advantage Arts Academy</t>
  </si>
  <si>
    <t>3M</t>
  </si>
  <si>
    <t>Bridge Elementary</t>
  </si>
  <si>
    <t>4M</t>
  </si>
  <si>
    <t>Mountain Sunrise Academy</t>
  </si>
  <si>
    <t>Utah Arts Academy</t>
  </si>
  <si>
    <t>Career Academy of Utah</t>
  </si>
  <si>
    <t>LEA PHASE CODE</t>
  </si>
  <si>
    <t>LEA NAME</t>
  </si>
  <si>
    <t>LEA TYPE</t>
  </si>
  <si>
    <t>Program Code</t>
  </si>
  <si>
    <t>WPU's</t>
  </si>
  <si>
    <t>AMOUNT</t>
  </si>
  <si>
    <t>010</t>
  </si>
  <si>
    <t>District</t>
  </si>
  <si>
    <t>020</t>
  </si>
  <si>
    <t>030</t>
  </si>
  <si>
    <t>040</t>
  </si>
  <si>
    <t>050</t>
  </si>
  <si>
    <t>060</t>
  </si>
  <si>
    <t>070</t>
  </si>
  <si>
    <t>080</t>
  </si>
  <si>
    <t>090</t>
  </si>
  <si>
    <t>680</t>
  </si>
  <si>
    <t>Ogden Prep</t>
  </si>
  <si>
    <t>Charter</t>
  </si>
  <si>
    <t>740</t>
  </si>
  <si>
    <t>American Prep</t>
  </si>
  <si>
    <t>810</t>
  </si>
  <si>
    <t>Walden School</t>
  </si>
  <si>
    <t>820</t>
  </si>
  <si>
    <t>Freedom Academy</t>
  </si>
  <si>
    <t>830</t>
  </si>
  <si>
    <t>AMES</t>
  </si>
  <si>
    <t>860</t>
  </si>
  <si>
    <t>Pinnacle Canyon</t>
  </si>
  <si>
    <t>870</t>
  </si>
  <si>
    <t>890</t>
  </si>
  <si>
    <t>Soldier Hollow</t>
  </si>
  <si>
    <t>910</t>
  </si>
  <si>
    <t>920</t>
  </si>
  <si>
    <t>Uintah River High</t>
  </si>
  <si>
    <t>930</t>
  </si>
  <si>
    <t>John Hancock</t>
  </si>
  <si>
    <t>940</t>
  </si>
  <si>
    <t>Thomas Edison - North</t>
  </si>
  <si>
    <t>950</t>
  </si>
  <si>
    <t>970</t>
  </si>
  <si>
    <t>Salt Lake Arts</t>
  </si>
  <si>
    <t>980</t>
  </si>
  <si>
    <t>Fast Forward</t>
  </si>
  <si>
    <t>A10</t>
  </si>
  <si>
    <t>A20</t>
  </si>
  <si>
    <t>Ranches Academy</t>
  </si>
  <si>
    <t>A30</t>
  </si>
  <si>
    <t>DaVinci Academy</t>
  </si>
  <si>
    <t>A40</t>
  </si>
  <si>
    <t>A50</t>
  </si>
  <si>
    <t>Itineris</t>
  </si>
  <si>
    <t>A60</t>
  </si>
  <si>
    <t>North Davis Prep</t>
  </si>
  <si>
    <t>A70</t>
  </si>
  <si>
    <t>Moab Charter</t>
  </si>
  <si>
    <t>A80</t>
  </si>
  <si>
    <t>East Hollywood High</t>
  </si>
  <si>
    <t>A90</t>
  </si>
  <si>
    <t>1B0</t>
  </si>
  <si>
    <t>UCAS</t>
  </si>
  <si>
    <t>2B0</t>
  </si>
  <si>
    <t>3B0</t>
  </si>
  <si>
    <t>Beehive Science &amp; Tech</t>
  </si>
  <si>
    <t>4B0</t>
  </si>
  <si>
    <t>Wasatch Peak</t>
  </si>
  <si>
    <t>5B0</t>
  </si>
  <si>
    <t>7B0</t>
  </si>
  <si>
    <t>Reagan Academy</t>
  </si>
  <si>
    <t>8B0</t>
  </si>
  <si>
    <t>American Leadership</t>
  </si>
  <si>
    <t>9B0</t>
  </si>
  <si>
    <t>Navigator Pointe</t>
  </si>
  <si>
    <t>1C0</t>
  </si>
  <si>
    <t>Odyssey</t>
  </si>
  <si>
    <t>2C0</t>
  </si>
  <si>
    <t>InTech Collegiate HS</t>
  </si>
  <si>
    <t>3C0</t>
  </si>
  <si>
    <t>4C0</t>
  </si>
  <si>
    <t>Lakeview</t>
  </si>
  <si>
    <t>5C0</t>
  </si>
  <si>
    <t>Legacy Preparatory</t>
  </si>
  <si>
    <t>7C0</t>
  </si>
  <si>
    <t>Monticello</t>
  </si>
  <si>
    <t>8C0</t>
  </si>
  <si>
    <t>Mountainville</t>
  </si>
  <si>
    <t>9C0</t>
  </si>
  <si>
    <t>Paradigm High</t>
  </si>
  <si>
    <t>1D0</t>
  </si>
  <si>
    <t>Renaissance</t>
  </si>
  <si>
    <t>2D0</t>
  </si>
  <si>
    <t>3D0</t>
  </si>
  <si>
    <t>Spectrum</t>
  </si>
  <si>
    <t>4D0</t>
  </si>
  <si>
    <t>Syracuse Arts</t>
  </si>
  <si>
    <t>5D0</t>
  </si>
  <si>
    <t>George Washington</t>
  </si>
  <si>
    <t>6D0</t>
  </si>
  <si>
    <t>Noah Webster</t>
  </si>
  <si>
    <t>7D0</t>
  </si>
  <si>
    <t>Salt Lake SPA</t>
  </si>
  <si>
    <t>8D0</t>
  </si>
  <si>
    <t>9D0</t>
  </si>
  <si>
    <t>Canyon Rim</t>
  </si>
  <si>
    <t>1E0</t>
  </si>
  <si>
    <t>Guadalupe Schools</t>
  </si>
  <si>
    <t>2E0</t>
  </si>
  <si>
    <t>Karl G. Maeser</t>
  </si>
  <si>
    <t>3E0</t>
  </si>
  <si>
    <t>4E0</t>
  </si>
  <si>
    <t>5E0</t>
  </si>
  <si>
    <t>Edith Bowen</t>
  </si>
  <si>
    <t>7E0</t>
  </si>
  <si>
    <t>Gateway Preparatory</t>
  </si>
  <si>
    <t>8E0</t>
  </si>
  <si>
    <t>Merit College Preparatory</t>
  </si>
  <si>
    <t>9E0</t>
  </si>
  <si>
    <t>1F0</t>
  </si>
  <si>
    <t>2F0</t>
  </si>
  <si>
    <t>Rockwell HS</t>
  </si>
  <si>
    <t>3F0</t>
  </si>
  <si>
    <t>Venture</t>
  </si>
  <si>
    <t>4F0</t>
  </si>
  <si>
    <t>Center for Science Ed.</t>
  </si>
  <si>
    <t>5F0</t>
  </si>
  <si>
    <t>6F0</t>
  </si>
  <si>
    <t>7F0</t>
  </si>
  <si>
    <t>8F0</t>
  </si>
  <si>
    <t>9F0</t>
  </si>
  <si>
    <t>1G0</t>
  </si>
  <si>
    <t>2G0</t>
  </si>
  <si>
    <t>Vista at Entrada</t>
  </si>
  <si>
    <t>3G0</t>
  </si>
  <si>
    <t>Bear River CS</t>
  </si>
  <si>
    <t>4G0</t>
  </si>
  <si>
    <t>Maria Montessori</t>
  </si>
  <si>
    <t>5G0</t>
  </si>
  <si>
    <t>6G0</t>
  </si>
  <si>
    <t>Weilenmann School</t>
  </si>
  <si>
    <t>7G0</t>
  </si>
  <si>
    <t>Summit Academy HS</t>
  </si>
  <si>
    <t>8G0</t>
  </si>
  <si>
    <t>Good Foundations</t>
  </si>
  <si>
    <t>2H0</t>
  </si>
  <si>
    <t>Utah Connections</t>
  </si>
  <si>
    <t>3H0</t>
  </si>
  <si>
    <t>5H0</t>
  </si>
  <si>
    <t>HighMark CS</t>
  </si>
  <si>
    <t>6H0</t>
  </si>
  <si>
    <t>7H0</t>
  </si>
  <si>
    <t>Pacific Heritage Acad.</t>
  </si>
  <si>
    <t>8H0</t>
  </si>
  <si>
    <t>1I0</t>
  </si>
  <si>
    <t>UT International Charter</t>
  </si>
  <si>
    <t>2I0</t>
  </si>
  <si>
    <t>Esperanza Elementary</t>
  </si>
  <si>
    <t>3I0</t>
  </si>
  <si>
    <t>Leadership Learning</t>
  </si>
  <si>
    <t>4I0</t>
  </si>
  <si>
    <t>Mana Academy</t>
  </si>
  <si>
    <t>5I0</t>
  </si>
  <si>
    <t>7I0</t>
  </si>
  <si>
    <t>WSU Charter School</t>
  </si>
  <si>
    <t>8I0</t>
  </si>
  <si>
    <t>9I0</t>
  </si>
  <si>
    <t>Utah Career Path HS</t>
  </si>
  <si>
    <t>2J0</t>
  </si>
  <si>
    <t>Ascent Academies</t>
  </si>
  <si>
    <t>3J0</t>
  </si>
  <si>
    <t>Dixie Montesorri Academy</t>
  </si>
  <si>
    <t>5J0</t>
  </si>
  <si>
    <t>Mountain West Montessori</t>
  </si>
  <si>
    <t>6J0</t>
  </si>
  <si>
    <t>7J0</t>
  </si>
  <si>
    <t>8J0</t>
  </si>
  <si>
    <t>9J0</t>
  </si>
  <si>
    <t>Lumen Scholar Institute</t>
  </si>
  <si>
    <t>1K0</t>
  </si>
  <si>
    <t>2K0</t>
  </si>
  <si>
    <t>3K0</t>
  </si>
  <si>
    <t>Roots Charter School</t>
  </si>
  <si>
    <t>4K0</t>
  </si>
  <si>
    <t>5K0</t>
  </si>
  <si>
    <t>6K0</t>
  </si>
  <si>
    <t>7K0</t>
  </si>
  <si>
    <t>8K0</t>
  </si>
  <si>
    <t>9K0</t>
  </si>
  <si>
    <t>1L0</t>
  </si>
  <si>
    <t>2L0</t>
  </si>
  <si>
    <t>CCID</t>
  </si>
  <si>
    <t>3L0</t>
  </si>
  <si>
    <t>5L0</t>
  </si>
  <si>
    <t>6L0</t>
  </si>
  <si>
    <t>7L0</t>
  </si>
  <si>
    <t>8L0</t>
  </si>
  <si>
    <t>REAL Salt Lake Academy High</t>
  </si>
  <si>
    <t>1M0</t>
  </si>
  <si>
    <t>3M0</t>
  </si>
  <si>
    <t>4M0</t>
  </si>
  <si>
    <t>Other</t>
  </si>
  <si>
    <t>7M</t>
  </si>
  <si>
    <t>7M0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</si>
  <si>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</si>
  <si>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</si>
  <si>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</si>
  <si>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</si>
  <si>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</si>
  <si>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</si>
  <si>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</si>
  <si>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</si>
  <si>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</si>
  <si>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</si>
  <si>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</si>
  <si>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</si>
  <si>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</si>
  <si>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</si>
  <si>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</si>
  <si>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</si>
  <si>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</si>
  <si>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</si>
  <si>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</si>
  <si>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</si>
  <si>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310</t>
  </si>
  <si>
    <t>320</t>
  </si>
  <si>
    <t>300</t>
  </si>
  <si>
    <t>330</t>
  </si>
  <si>
    <t>340</t>
  </si>
  <si>
    <t>350</t>
  </si>
  <si>
    <t>360</t>
  </si>
  <si>
    <t>370</t>
  </si>
  <si>
    <t>380</t>
  </si>
  <si>
    <t>390</t>
  </si>
  <si>
    <t>400</t>
  </si>
  <si>
    <t>420</t>
  </si>
  <si>
    <t>LEA</t>
  </si>
  <si>
    <t>8M</t>
  </si>
  <si>
    <t>Elevated Charter School</t>
  </si>
  <si>
    <t>9M</t>
  </si>
  <si>
    <t>American Principles Academy</t>
  </si>
  <si>
    <t>8M0</t>
  </si>
  <si>
    <t>9M0</t>
  </si>
  <si>
    <t>1N</t>
  </si>
  <si>
    <t>1N0</t>
  </si>
  <si>
    <t>Virtual Horizons Charter School</t>
  </si>
  <si>
    <t>2N</t>
  </si>
  <si>
    <t>2N0</t>
  </si>
  <si>
    <t>Thrive Point Academy</t>
  </si>
  <si>
    <t>Utah Schools for the Deaf and Blind</t>
  </si>
  <si>
    <t>New Charter in Year 1?</t>
  </si>
  <si>
    <t>No</t>
  </si>
  <si>
    <t>Yes</t>
  </si>
  <si>
    <t>ID</t>
  </si>
  <si>
    <t>Phase</t>
  </si>
  <si>
    <t>LEA Name</t>
  </si>
  <si>
    <t>Type</t>
  </si>
  <si>
    <t>In Operation in FY25?</t>
  </si>
  <si>
    <t>In Operation in FY26?</t>
  </si>
  <si>
    <t>FY22ADM - SPED Resource</t>
  </si>
  <si>
    <t>FY22ADM - SPED Self-Contained</t>
  </si>
  <si>
    <t>Oct 1, 2022 - K</t>
  </si>
  <si>
    <t>Oct 1, 2022 - Grades 1-6</t>
  </si>
  <si>
    <t>Oct 1, 2022 - Grades 7-8</t>
  </si>
  <si>
    <t>Oct 1, 2022 - Grades 9-12</t>
  </si>
  <si>
    <t>Oct 1, 2022 - Grades K-12</t>
  </si>
  <si>
    <t>Oct 1, 2022 - Grades 1-12</t>
  </si>
  <si>
    <t>Oct 1, 2022 - Grades K-8</t>
  </si>
  <si>
    <t>Oct 1, 2022 - Self-Contained</t>
  </si>
  <si>
    <t>FY23 ADM - K</t>
  </si>
  <si>
    <t>FY23 ADM - Grade 1</t>
  </si>
  <si>
    <t>FY23 ADM - Grade 2</t>
  </si>
  <si>
    <t>FY23 ADM - Grade 3</t>
  </si>
  <si>
    <t>FY23 ADM - Grade 4</t>
  </si>
  <si>
    <t>FY23 ADM - Grade 5</t>
  </si>
  <si>
    <t>FY23 ADM - Grade 6</t>
  </si>
  <si>
    <t>FY23 ADM - Grade 7</t>
  </si>
  <si>
    <t>FY23 ADM - Grade 8</t>
  </si>
  <si>
    <t>FY23 ADM - Grade 9</t>
  </si>
  <si>
    <t>FY23 ADM - Grade 10</t>
  </si>
  <si>
    <t>FY23 ADM - Grade 11</t>
  </si>
  <si>
    <t>FY23 ADM - Grade 12</t>
  </si>
  <si>
    <t>FY23 ADM - Grades 1-6</t>
  </si>
  <si>
    <t>FY23 ADM - Grades 7-8</t>
  </si>
  <si>
    <t>FY23 ADM - Grades 9-12</t>
  </si>
  <si>
    <t>FY23 ADM - Grades K-8</t>
  </si>
  <si>
    <t>FY23 ADM - Grades 1-12</t>
  </si>
  <si>
    <t>FY23 ADM - Grades K-12</t>
  </si>
  <si>
    <t>FY23ADM - SPED Resource</t>
  </si>
  <si>
    <t>FY23ADM - SPED Self-Contained</t>
  </si>
  <si>
    <t>FY23ADM - Total SPED</t>
  </si>
  <si>
    <t>Oct. 1, 2023 - K</t>
  </si>
  <si>
    <t>Oct. 1, 2023 - Grade 1</t>
  </si>
  <si>
    <t>Oct. 1, 2023 - Grade 2</t>
  </si>
  <si>
    <t>Oct. 1, 2023 - Grade 3</t>
  </si>
  <si>
    <t>Oct. 1, 2023 - Grade 4</t>
  </si>
  <si>
    <t>Oct. 1, 2023 - Grade 5</t>
  </si>
  <si>
    <t>Oct. 1, 2023 - Grade 6</t>
  </si>
  <si>
    <t>Oct. 1, 2023 - Grade 7</t>
  </si>
  <si>
    <t>Oct. 1, 2023 - Grade 8</t>
  </si>
  <si>
    <t>Oct. 1, 2023 - Grade 9</t>
  </si>
  <si>
    <t>Oct. 1, 2023 - Grade 10</t>
  </si>
  <si>
    <t>Oct. 1, 2023 - Grade 11</t>
  </si>
  <si>
    <t>Oct. 1, 2023 - Grade 12</t>
  </si>
  <si>
    <t>Oct. 1, 2023 - Grades 1-6</t>
  </si>
  <si>
    <t>Oct. 1, 2023 - Grades 7-8</t>
  </si>
  <si>
    <t>Oct. 1, 2023 - Grades 9-12</t>
  </si>
  <si>
    <t>Oct. 1, 2023 - Grades K-8</t>
  </si>
  <si>
    <t>Oct. 1, 2023 - Grades 1-12</t>
  </si>
  <si>
    <t>Oct. 1, 2023 - Grades K-12</t>
  </si>
  <si>
    <t>Oct. 1, 2023 - FDK Counts</t>
  </si>
  <si>
    <t>Oct. 1, 2023 - HDK Counts</t>
  </si>
  <si>
    <t>Oct. 1, 2023 - Foreign Exchange</t>
  </si>
  <si>
    <t>Oct. 1, 2023 - Econ. Disadv.</t>
  </si>
  <si>
    <t>Oct. 1, 2023 - SPED Resource</t>
  </si>
  <si>
    <t>Oct. 1, 2023 - SPED Self-Contained</t>
  </si>
  <si>
    <t>Oct. 1, 2023 - Total SPED</t>
  </si>
  <si>
    <t>Oct. 1, 2023 - LEP</t>
  </si>
  <si>
    <t>Prostaff Ratios</t>
  </si>
  <si>
    <t>ESA - All - FY24</t>
  </si>
  <si>
    <t>ESA - Educators Only - FY24</t>
  </si>
  <si>
    <t>TSM FTE - FY24</t>
  </si>
  <si>
    <t>Educ. Prof. Hrs. FTE - FY24</t>
  </si>
  <si>
    <t xml:space="preserve">Oct 1 2020 Counts - Online Students &gt;180 Days </t>
  </si>
  <si>
    <t>Oct 1 2023 Counts - Online Students &gt;180 Days in FY2023/Still Online on Oct 1</t>
  </si>
  <si>
    <t xml:space="preserve">FY23 ADM - Online Students &gt;180 Days </t>
  </si>
  <si>
    <t>FY24 ADM - Half Day K</t>
  </si>
  <si>
    <t>FY24 ADM - Full Day K</t>
  </si>
  <si>
    <t>FY24 ADM - Total K</t>
  </si>
  <si>
    <t>FY24 ADM - Grade 1</t>
  </si>
  <si>
    <t>FY24 ADM - Grade 2</t>
  </si>
  <si>
    <t>FY24 ADM - Grade 3</t>
  </si>
  <si>
    <t>FY24 ADM - Grade 4</t>
  </si>
  <si>
    <t>FY24 ADM - Grade 5</t>
  </si>
  <si>
    <t>FY24 ADM - Grade 6</t>
  </si>
  <si>
    <t>FY24 ADM - Grade 7</t>
  </si>
  <si>
    <t>FY24 ADM - Grade 8</t>
  </si>
  <si>
    <t>FY24 ADM - Grade 9</t>
  </si>
  <si>
    <t>FY24 ADM - Grade 10</t>
  </si>
  <si>
    <t>FY24 ADM - Grade 11</t>
  </si>
  <si>
    <t>FY24 ADM - Grade 12</t>
  </si>
  <si>
    <t>FY24 ADM - Grades 1-6</t>
  </si>
  <si>
    <t>FY24 ADM - Grades 7-8</t>
  </si>
  <si>
    <t>FY24 ADM - Grades 9-12</t>
  </si>
  <si>
    <t>FY24 ADM - Grades K-8</t>
  </si>
  <si>
    <t>FY24 ADM - Grades 1-12</t>
  </si>
  <si>
    <t>FY24 ADM - Grades K-12</t>
  </si>
  <si>
    <t>FY24 ADM - SPED Resource</t>
  </si>
  <si>
    <t>FY24 ADM - SPED Self-Contained</t>
  </si>
  <si>
    <t>FY24 ADM - Total SPED</t>
  </si>
  <si>
    <t>Oct. 1, 2024 - FDK</t>
  </si>
  <si>
    <t>Oct. 1, 2024 - HDK</t>
  </si>
  <si>
    <t>Oct. 1, 2024 - Total K</t>
  </si>
  <si>
    <t>Oct. 1, 2024 - Grade 1</t>
  </si>
  <si>
    <t>Oct. 1, 2024 - Grade 2</t>
  </si>
  <si>
    <t>Oct. 1, 2024 - Grade 3</t>
  </si>
  <si>
    <t>Oct. 1, 2024 - Grade 4</t>
  </si>
  <si>
    <t>Oct. 1, 2024 - Grade 5</t>
  </si>
  <si>
    <t>Oct. 1, 2024 - Grade 6</t>
  </si>
  <si>
    <t>Oct. 1, 2024 - Grade 7</t>
  </si>
  <si>
    <t>Oct. 1, 2024 - Grade 8</t>
  </si>
  <si>
    <t>Oct. 1, 2024 - Grade 9</t>
  </si>
  <si>
    <t>Oct. 1, 2024 - Grade 10</t>
  </si>
  <si>
    <t>Oct. 1, 2024 - Grade 11</t>
  </si>
  <si>
    <t>Oct. 1, 2024 - Grade 12</t>
  </si>
  <si>
    <t>Oct. 1, 2024 - Grades 1-6</t>
  </si>
  <si>
    <t>Oct. 1, 2024 - Grades 7-8</t>
  </si>
  <si>
    <t>Oct. 1, 2024 - Grades 9-12</t>
  </si>
  <si>
    <t>Oct. 1, 2024 - Grades K-8</t>
  </si>
  <si>
    <t>Oct. 1, 2024 - Grades 1-12</t>
  </si>
  <si>
    <t>Oct. 1, 2024 - Grades K-12</t>
  </si>
  <si>
    <t>Oct. 1, 2024 - Foreign Exchange</t>
  </si>
  <si>
    <t>Oct. 1, 2024 - Econ. Disadv.</t>
  </si>
  <si>
    <t>Oct. 1, 2024 - SPED Resource</t>
  </si>
  <si>
    <t>Oct. 1, 2024 - SPED Self-Contained</t>
  </si>
  <si>
    <t>Oct. 1, 2024 - Total SPED</t>
  </si>
  <si>
    <t>Oct. 1, 2024 - LEP</t>
  </si>
  <si>
    <t>ESA - All - FY25</t>
  </si>
  <si>
    <t>ESA - Educators Only - FY25</t>
  </si>
  <si>
    <t>TSM FTE - Elementary - FY25</t>
  </si>
  <si>
    <t>TSM FTE - Secondary - FY25</t>
  </si>
  <si>
    <t>TSM FTE - Reg. Pre-K - FY25</t>
  </si>
  <si>
    <t>Educ. Prof. Hrs. FTE - FY25</t>
  </si>
  <si>
    <t>ProStaff Ratios - FY24 YE</t>
  </si>
  <si>
    <t>Oct 1 2024 Counts - Online Students &gt;=180 Days in FY2024/Still Online on Oct 1</t>
  </si>
  <si>
    <t>Oct 1, 2025 (CDC) - K</t>
  </si>
  <si>
    <t>Oct 1, 2025 (CDC) - Grades 1-12</t>
  </si>
  <si>
    <t>Oct 1, 2025 (CDC) - Grades 1-6</t>
  </si>
  <si>
    <t>Oct 1, 2025 (CDC) - Grades 7-8</t>
  </si>
  <si>
    <t>Oct 1, 2025 (CDC) - Grades 9-12</t>
  </si>
  <si>
    <t>Oct 1, 2025 (CDC) - Grades K-12</t>
  </si>
  <si>
    <t>December 1, 2025 - SPED Pre-K 3-5 Count</t>
  </si>
  <si>
    <t>December 1, 2025 - SPED K-12</t>
  </si>
  <si>
    <t>December 1, 2025 - SPED PreK-12 - All Ages</t>
  </si>
  <si>
    <t>FY24 ESY Count</t>
  </si>
  <si>
    <t>Alpine School District</t>
  </si>
  <si>
    <t>Beaver Co School District</t>
  </si>
  <si>
    <t>Box Elder Co School District</t>
  </si>
  <si>
    <t>Cache Co School District</t>
  </si>
  <si>
    <t>Carbon Co School District</t>
  </si>
  <si>
    <t>Daggett Co School District</t>
  </si>
  <si>
    <t>Davis Co School District</t>
  </si>
  <si>
    <t>Duchesne Co School District</t>
  </si>
  <si>
    <t>Emery School District</t>
  </si>
  <si>
    <t>Garfield Co School District</t>
  </si>
  <si>
    <t>Grand Co School District</t>
  </si>
  <si>
    <t>Granite School District</t>
  </si>
  <si>
    <t>Iron Co School District</t>
  </si>
  <si>
    <t>Jordan School District</t>
  </si>
  <si>
    <t>Juab School District</t>
  </si>
  <si>
    <t>Kane Co School District</t>
  </si>
  <si>
    <t>Millard School District</t>
  </si>
  <si>
    <t>Morgan School District</t>
  </si>
  <si>
    <t>Nebo School District</t>
  </si>
  <si>
    <t>North Sanpete School District</t>
  </si>
  <si>
    <t>North Summit School District</t>
  </si>
  <si>
    <t>Park City School District</t>
  </si>
  <si>
    <t>Piute School District</t>
  </si>
  <si>
    <t>Rich School District</t>
  </si>
  <si>
    <t>San Juan School District</t>
  </si>
  <si>
    <t>Sevier School District</t>
  </si>
  <si>
    <t>South Sanpete School District</t>
  </si>
  <si>
    <t>South Summit School District</t>
  </si>
  <si>
    <t>Tintic School District</t>
  </si>
  <si>
    <t>Tooele School District</t>
  </si>
  <si>
    <t>Uintah School District</t>
  </si>
  <si>
    <t>Wasatch School District</t>
  </si>
  <si>
    <t>Washington Co School Dist</t>
  </si>
  <si>
    <t>Wayne School District</t>
  </si>
  <si>
    <t>Weber Co School District</t>
  </si>
  <si>
    <t>SLC School District</t>
  </si>
  <si>
    <t>Ogden City School District</t>
  </si>
  <si>
    <t>Provo School District</t>
  </si>
  <si>
    <t>Logan City School District</t>
  </si>
  <si>
    <t>Murray School District</t>
  </si>
  <si>
    <t>Canyons School District</t>
  </si>
  <si>
    <t>Sevier School District (CUES)</t>
  </si>
  <si>
    <t>Wasatch School District (NUES)</t>
  </si>
  <si>
    <t>Carbon Co School District (SESC)</t>
  </si>
  <si>
    <t>Iron Co School District (SEDC)</t>
  </si>
  <si>
    <t>American Preparatory (Utah Charter Academies Inc)</t>
  </si>
  <si>
    <t>John Hancock Charter School Foundation</t>
  </si>
  <si>
    <t>Fast Forward Charter High School</t>
  </si>
  <si>
    <t>Utah County Academy of Sciences</t>
  </si>
  <si>
    <t>Guadalupe School Salt Lake City School Dist</t>
  </si>
  <si>
    <t>Utah International Charter School</t>
  </si>
  <si>
    <t>Vanguard Academy Inc</t>
  </si>
  <si>
    <t>Athlos Academies</t>
  </si>
  <si>
    <t>Lincoln Academy Incorporated</t>
  </si>
  <si>
    <t>Intech Collegiate Academy</t>
  </si>
  <si>
    <t>Karl G. Maeser Preparatory Academy Foundation</t>
  </si>
  <si>
    <t>Vista At Entrada Inc</t>
  </si>
  <si>
    <t>Esperanza Elementary (Generacion Floreciente)</t>
  </si>
  <si>
    <t>Center For Creativity Innovation And Dicovery</t>
  </si>
  <si>
    <t>Beehive Science and Technology Academy</t>
  </si>
  <si>
    <t>Syracuse Arts Academy Inc</t>
  </si>
  <si>
    <t>SL Center For Science Education</t>
  </si>
  <si>
    <t>Mana Academy (Salt Lake Charter School)</t>
  </si>
  <si>
    <t>USU Edith Bowen Lab School</t>
  </si>
  <si>
    <t>Canyon Grove (Quail Run Primary School Foundation)</t>
  </si>
  <si>
    <t>Highmark Charter School</t>
  </si>
  <si>
    <t>Mountain West Montessori Academy</t>
  </si>
  <si>
    <t>Wasatch Waldorf Charter School</t>
  </si>
  <si>
    <t>Noah Webster Academy Inc</t>
  </si>
  <si>
    <t>Early Light Academy</t>
  </si>
  <si>
    <t>Weilenmann School of Discovery, Inc</t>
  </si>
  <si>
    <t>Promontory School of Expeditionary Learning</t>
  </si>
  <si>
    <t>Franklin Discovery Academy Vineyard</t>
  </si>
  <si>
    <t>Ronald Wilson Reagan Academy</t>
  </si>
  <si>
    <t>Monticello Academy Inc</t>
  </si>
  <si>
    <t>Salt Lake School For Performing Arts</t>
  </si>
  <si>
    <t>Summit Academy High School</t>
  </si>
  <si>
    <t>Weber State University Charter Academy</t>
  </si>
  <si>
    <t>Greenwood Charter School</t>
  </si>
  <si>
    <t>Treeside Charter School</t>
  </si>
  <si>
    <t>Open Classroom Charter School</t>
  </si>
  <si>
    <t>Merit Preparatory Academy</t>
  </si>
  <si>
    <t>Good Foundations Academy Charter School</t>
  </si>
  <si>
    <t>Valley Arts Academy, Inc</t>
  </si>
  <si>
    <t>The Winter Sports School In Park City</t>
  </si>
  <si>
    <t>Salt Lake Academy High School</t>
  </si>
  <si>
    <t>St George Academy</t>
  </si>
  <si>
    <t>Northern Utah Academy For Math Engineering and Science</t>
  </si>
  <si>
    <t>The Ranches Academy Inc</t>
  </si>
  <si>
    <t>Davinci Academy of Science and The Arts</t>
  </si>
  <si>
    <t>Summit Academy Incorporated</t>
  </si>
  <si>
    <t>Itineris Early College High School</t>
  </si>
  <si>
    <t>North Davis Preparatory Academy</t>
  </si>
  <si>
    <t>East Hollywood High School Inc</t>
  </si>
  <si>
    <t>Success Academy</t>
  </si>
  <si>
    <t>All LEAs</t>
  </si>
  <si>
    <t>Salt Lake Academy</t>
  </si>
  <si>
    <t>Salary Supplement for Highly Needed Educators (SSHiNE) - FY2026 Legislative Estimates</t>
  </si>
  <si>
    <t>PQS</t>
  </si>
  <si>
    <t>December 1, 2024 - SPED Resource</t>
  </si>
  <si>
    <t>December 1, 2024 - SPED Self-Contained</t>
  </si>
  <si>
    <t>LEA Type</t>
  </si>
  <si>
    <t>Prior Year October 1 Enrollments</t>
  </si>
  <si>
    <t>Total % For Charters</t>
  </si>
  <si>
    <t>Total Charter Enrollments</t>
  </si>
  <si>
    <t>Total District + USDB Enrollments</t>
  </si>
  <si>
    <t>Total % For Districts + USDB</t>
  </si>
  <si>
    <t>Allocation to Districts + USDB</t>
  </si>
  <si>
    <t>Total Appropriation</t>
  </si>
  <si>
    <t>Total # of Charters</t>
  </si>
  <si>
    <t>Total # Districts + USDB</t>
  </si>
  <si>
    <t>Base Amount Per Charter</t>
  </si>
  <si>
    <t>Per Student Amount for Charters</t>
  </si>
  <si>
    <t>Base Amount Per District</t>
  </si>
  <si>
    <t>Per Student Amount for Districts</t>
  </si>
  <si>
    <t>SSHINE Funding</t>
  </si>
  <si>
    <t>Total Allocation to Charters</t>
  </si>
  <si>
    <t>FY24 ADM - Online Students - Online All 180 Days</t>
  </si>
  <si>
    <t>FY24 Classified FTE: Instructional Paraprofessionals</t>
  </si>
  <si>
    <t>FY24 Classified FTE: Library Paraprofessionals</t>
  </si>
  <si>
    <t>FY24 Classified FTE: School Support</t>
  </si>
  <si>
    <t>FY24 Classified FTE: Student Support</t>
  </si>
  <si>
    <t>FY24 Classified FTE: Other Support Staff</t>
  </si>
  <si>
    <t>FY24 Classified FTE: All Qualifying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</si>
</sst>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_)"/>
    <numFmt numFmtId="166" formatCode="General_)"/>
    <numFmt numFmtId="167" formatCode="0.000"/>
    <numFmt numFmtId="168" formatCode="_(* #,##0.000_);_(* \(#,##0.000\);_(* &quot;-&quot;???_);_(@_)"/>
    <numFmt numFmtId="169" formatCode="_(&quot;$&quot;* #,##0_);_(&quot;$&quot;* \(#,##0\);_(&quot;$&quot;* &quot;-&quot;??_);_(@_)"/>
    <numFmt numFmtId="170" formatCode="_(* #,##0.00000_);_(* \(#,##0.00000\);_(* &quot;-&quot;??_);_(@_)"/>
    <numFmt numFmtId="171" formatCode="_(* #,##0_);_(* \(#,##0\);_(* &quot;-&quot;??_);_(@_)"/>
    <numFmt numFmtId="172" formatCode="_(* #,##0.0_);_(* \(#,##0.0\);_(* &quot;-&quot;??_);_(@_)"/>
    <numFmt numFmtId="173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4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169" fontId="0" fillId="2" borderId="1" xfId="4" applyNumberFormat="1" applyFont="1" applyFill="1" applyBorder="1"/>
    <xf numFmtId="166" fontId="6" fillId="2" borderId="1" xfId="3" applyNumberFormat="1" applyFont="1" applyFill="1" applyBorder="1" applyAlignment="1">
      <alignment horizontal="left"/>
    </xf>
    <xf numFmtId="164" fontId="0" fillId="2" borderId="0" xfId="1" applyNumberFormat="1" applyFont="1" applyFill="1" applyBorder="1"/>
    <xf numFmtId="0" fontId="6" fillId="2" borderId="1" xfId="0" applyFont="1" applyFill="1" applyBorder="1" applyAlignment="1">
      <alignment horizontal="center"/>
    </xf>
    <xf numFmtId="169" fontId="2" fillId="2" borderId="1" xfId="4" applyNumberFormat="1" applyFont="1" applyFill="1" applyBorder="1"/>
    <xf numFmtId="0" fontId="0" fillId="2" borderId="0" xfId="0" applyFill="1"/>
    <xf numFmtId="168" fontId="0" fillId="2" borderId="0" xfId="0" applyNumberFormat="1" applyFill="1"/>
    <xf numFmtId="44" fontId="0" fillId="2" borderId="0" xfId="0" applyNumberFormat="1" applyFill="1"/>
    <xf numFmtId="167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horizontal="center"/>
    </xf>
    <xf numFmtId="43" fontId="0" fillId="2" borderId="0" xfId="0" applyNumberFormat="1" applyFill="1"/>
    <xf numFmtId="0" fontId="1" fillId="0" borderId="0" xfId="5" applyAlignment="1">
      <alignment horizontal="center"/>
    </xf>
    <xf numFmtId="0" fontId="1" fillId="0" borderId="0" xfId="5"/>
    <xf numFmtId="43" fontId="0" fillId="0" borderId="0" xfId="6" applyFont="1"/>
    <xf numFmtId="44" fontId="0" fillId="0" borderId="0" xfId="7" applyFont="1"/>
    <xf numFmtId="44" fontId="1" fillId="0" borderId="0" xfId="5" applyNumberFormat="1"/>
    <xf numFmtId="166" fontId="5" fillId="2" borderId="0" xfId="3" applyNumberFormat="1" applyFont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1" fontId="9" fillId="0" borderId="0" xfId="1" applyNumberFormat="1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16" fontId="9" fillId="0" borderId="0" xfId="0" quotePrefix="1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2" fontId="10" fillId="0" borderId="0" xfId="1" applyNumberFormat="1" applyFont="1" applyAlignment="1">
      <alignment vertical="center" wrapText="1"/>
    </xf>
    <xf numFmtId="171" fontId="10" fillId="0" borderId="0" xfId="1" applyNumberFormat="1" applyFont="1" applyAlignment="1">
      <alignment vertical="center" wrapText="1"/>
    </xf>
    <xf numFmtId="170" fontId="10" fillId="0" borderId="0" xfId="1" applyNumberFormat="1" applyFont="1" applyFill="1" applyAlignment="1">
      <alignment vertical="center" wrapText="1"/>
    </xf>
    <xf numFmtId="172" fontId="10" fillId="0" borderId="0" xfId="1" applyNumberFormat="1" applyFont="1" applyFill="1" applyAlignment="1">
      <alignment vertical="center" wrapText="1"/>
    </xf>
    <xf numFmtId="171" fontId="11" fillId="0" borderId="0" xfId="1" applyNumberFormat="1" applyFont="1" applyFill="1" applyAlignment="1">
      <alignment vertical="center" wrapText="1"/>
    </xf>
    <xf numFmtId="172" fontId="11" fillId="0" borderId="0" xfId="1" applyNumberFormat="1" applyFont="1" applyFill="1" applyAlignment="1">
      <alignment vertical="center" wrapText="1"/>
    </xf>
    <xf numFmtId="170" fontId="11" fillId="0" borderId="0" xfId="1" applyNumberFormat="1" applyFont="1" applyFill="1" applyAlignment="1">
      <alignment vertical="center" wrapText="1"/>
    </xf>
    <xf numFmtId="171" fontId="10" fillId="0" borderId="0" xfId="0" applyNumberFormat="1" applyFont="1" applyAlignment="1">
      <alignment vertical="center" wrapText="1"/>
    </xf>
    <xf numFmtId="43" fontId="10" fillId="0" borderId="0" xfId="1" applyFont="1" applyAlignment="1">
      <alignment vertical="center" wrapText="1"/>
    </xf>
    <xf numFmtId="171" fontId="10" fillId="0" borderId="0" xfId="0" applyNumberFormat="1" applyFont="1" applyAlignment="1">
      <alignment vertical="center"/>
    </xf>
    <xf numFmtId="170" fontId="10" fillId="0" borderId="0" xfId="1" applyNumberFormat="1" applyFont="1" applyAlignment="1">
      <alignment vertical="center" wrapText="1"/>
    </xf>
    <xf numFmtId="172" fontId="10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3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/>
    </xf>
    <xf numFmtId="0" fontId="6" fillId="2" borderId="3" xfId="2" applyFont="1" applyFill="1" applyBorder="1"/>
    <xf numFmtId="1" fontId="6" fillId="2" borderId="3" xfId="0" applyNumberFormat="1" applyFont="1" applyFill="1" applyBorder="1" applyAlignment="1">
      <alignment horizontal="center"/>
    </xf>
    <xf numFmtId="166" fontId="6" fillId="2" borderId="3" xfId="3" applyNumberFormat="1" applyFont="1" applyFill="1" applyBorder="1"/>
    <xf numFmtId="166" fontId="6" fillId="2" borderId="3" xfId="3" applyNumberFormat="1" applyFont="1" applyFill="1" applyBorder="1" applyAlignment="1">
      <alignment horizontal="left" vertical="center"/>
    </xf>
    <xf numFmtId="0" fontId="6" fillId="2" borderId="3" xfId="0" applyFont="1" applyFill="1" applyBorder="1"/>
    <xf numFmtId="166" fontId="6" fillId="2" borderId="3" xfId="3" applyNumberFormat="1" applyFont="1" applyFill="1" applyBorder="1" applyAlignment="1">
      <alignment horizontal="left"/>
    </xf>
    <xf numFmtId="0" fontId="6" fillId="2" borderId="3" xfId="3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171" fontId="0" fillId="2" borderId="1" xfId="1" applyNumberFormat="1" applyFont="1" applyFill="1" applyBorder="1"/>
    <xf numFmtId="172" fontId="0" fillId="2" borderId="1" xfId="1" applyNumberFormat="1" applyFont="1" applyFill="1" applyBorder="1"/>
    <xf numFmtId="171" fontId="2" fillId="2" borderId="1" xfId="1" applyNumberFormat="1" applyFont="1" applyFill="1" applyBorder="1"/>
    <xf numFmtId="173" fontId="2" fillId="2" borderId="1" xfId="8" applyNumberFormat="1" applyFont="1" applyFill="1" applyBorder="1"/>
    <xf numFmtId="44" fontId="2" fillId="2" borderId="1" xfId="4" applyFont="1" applyFill="1" applyBorder="1"/>
    <xf numFmtId="0" fontId="5" fillId="2" borderId="1" xfId="0" applyFont="1" applyFill="1" applyBorder="1" applyAlignment="1">
      <alignment horizontal="center" vertical="center" wrapText="1"/>
    </xf>
    <xf numFmtId="169" fontId="0" fillId="2" borderId="0" xfId="0" applyNumberFormat="1" applyFill="1"/>
    <xf numFmtId="0" fontId="0" fillId="2" borderId="1" xfId="0" applyFill="1" applyBorder="1" applyAlignment="1">
      <alignment horizontal="center"/>
    </xf>
    <xf numFmtId="0" fontId="5" fillId="2" borderId="1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9">
    <cellStyle name="Comma" xfId="1" builtinId="3"/>
    <cellStyle name="Comma 3" xfId="6" xr:uid="{886DC45A-E487-4125-9E6F-6DC2A0FC7148}"/>
    <cellStyle name="Currency" xfId="4" builtinId="4"/>
    <cellStyle name="Currency 3" xfId="7" xr:uid="{CAA60CD2-E568-456E-9D5F-ACECE0B62A18}"/>
    <cellStyle name="Normal" xfId="0" builtinId="0"/>
    <cellStyle name="Normal 4" xfId="3" xr:uid="{00000000-0005-0000-0000-000002000000}"/>
    <cellStyle name="Normal 4 2" xfId="5" xr:uid="{43799E4F-4C4A-4438-AFAC-BD408363D325}"/>
    <cellStyle name="Normal 7" xfId="2" xr:uid="{00000000-0005-0000-0000-000003000000}"/>
    <cellStyle name="Percent" xfId="8" builtinId="5"/>
  </cellStyles>
  <dxfs count="314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0" formatCode="_(* #,##0.00000_);_(* \(#,##0.0000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1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0" formatCode="_(* #,##0.00000_);_(* \(#,##0.0000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</dxf>
    <dxf>
      <numFmt numFmtId="35" formatCode="_(* #,##0.00_);_(* \(#,##0.00\);_(* &quot;-&quot;??_);_(@_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SP26\Legislative%20Estimates\Source%20Documents\26PPI%20-%20SPED%20Extended%20Year%20FY26%20LE%202.10.2025.xlsx" TargetMode="External"/><Relationship Id="rId1" Type="http://schemas.openxmlformats.org/officeDocument/2006/relationships/externalLinkPath" Target="26PPI%20-%20SPED%20Extended%20Year%20FY26%20LE%202.10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ESY FY26"/>
      <sheetName val="Data Table 2.10.2025"/>
    </sheetNames>
    <sheetDataSet>
      <sheetData sheetId="0"/>
      <sheetData sheetId="1">
        <row r="2">
          <cell r="A2">
            <v>1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1BD944-CD84-4D30-AE68-128E37CEF2E5}" name="Summary_Table" displayName="Summary_Table" ref="A1:G161" totalsRowShown="0">
  <autoFilter ref="A1:G161" xr:uid="{DCAEC44F-3531-4FBB-86D2-8487EED57E81}"/>
  <tableColumns count="7">
    <tableColumn id="1" xr3:uid="{5609B870-2779-4A79-9EB2-AA7C1BB17667}" name="LEA ID" dataDxfId="313" totalsRowDxfId="312"/>
    <tableColumn id="2" xr3:uid="{3CC9DBD6-21DB-483A-AF66-463C5C1302CF}" name="LEA PHASE CODE" dataDxfId="311" totalsRowDxfId="310"/>
    <tableColumn id="3" xr3:uid="{6D71747A-399D-4E38-85B9-38FE84D5BF5F}" name="LEA NAME"/>
    <tableColumn id="4" xr3:uid="{35A0DC3B-BC0A-45F6-9B86-D551E0E9369F}" name="LEA TYPE"/>
    <tableColumn id="5" xr3:uid="{9FEC0DB8-714C-40B8-B73A-E50E1BBC5898}" name="Program Code"/>
    <tableColumn id="6" xr3:uid="{8BF5D428-C23D-44BE-8799-BA6623F77A50}" name="WPU's" dataDxfId="309" totalsRowDxfId="308" dataCellStyle="Comma" totalsRowCellStyle="Comma">
      <calculatedColumnFormula>_xlfn.IFNA(INDEX('[1]ESY FY26'!$K$2:$K$159,MATCH(Summary_Table[[#This Row],[LEA ID]],'[1]ESY FY26'!$A$2:$A$159,0)),0)</calculatedColumnFormula>
    </tableColumn>
    <tableColumn id="7" xr3:uid="{ABA7E467-9E06-44B5-8BCE-52DA7AFE6C09}" name="AMOUNT" dataDxfId="307">
      <calculatedColumnFormula>_xlfn.IFNA(INDEX(Calculations!$F$3:$F$159,MATCH(Summary_Table[[#This Row],[LEA ID]],Calculations!$A$3:$A$159,0)),0)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B626C2A-F79A-4498-BCBE-CDD1990AE961}" name="FY26_LE_Data_March20" displayName="FY26_LE_Data_March20" ref="A1:EU167" totalsRowCount="1" headerRowDxfId="306" dataDxfId="305" totalsRowDxfId="304">
  <autoFilter ref="A1:EU166" xr:uid="{173F30BB-571E-4CFF-8EB3-BB73223CE1AF}"/>
  <sortState xmlns:xlrd2="http://schemas.microsoft.com/office/spreadsheetml/2017/richdata2" ref="A2:BR164">
    <sortCondition ref="A1:A164"/>
  </sortState>
  <tableColumns count="151">
    <tableColumn id="1" xr3:uid="{6CFB7A70-81B3-46D8-8DD8-B1A93C703F48}" name="ID" dataDxfId="303" totalsRowDxfId="302"/>
    <tableColumn id="2" xr3:uid="{707652C5-5AC4-41E1-8A47-75DB45A4F3C1}" name="Phase" dataDxfId="301" totalsRowDxfId="300"/>
    <tableColumn id="3" xr3:uid="{8ABC19F2-AF3A-489E-9520-E1AC97439EA5}" name="LEA Name" dataDxfId="299" totalsRowDxfId="298"/>
    <tableColumn id="4" xr3:uid="{6F388FA1-15F7-4086-ACE5-B7B4EB30FA32}" name="Type" dataDxfId="297" totalsRowDxfId="296"/>
    <tableColumn id="143" xr3:uid="{A4794018-6F43-43D3-9FFC-638B667D9467}" name="In Operation in FY25?" dataDxfId="295" totalsRowDxfId="294"/>
    <tableColumn id="144" xr3:uid="{C698D320-85DB-4E8E-98E5-4DBD31C34032}" name="In Operation in FY26?" dataDxfId="293" totalsRowDxfId="292"/>
    <tableColumn id="61" xr3:uid="{AC977F74-D401-47D3-A7F2-E111C9E06FC3}" name="FY22ADM - SPED Resource" totalsRowFunction="sum" dataDxfId="291" totalsRowDxfId="290" dataCellStyle="Comma"/>
    <tableColumn id="62" xr3:uid="{AF18A397-AEE6-437C-A71D-2ECD27A25850}" name="FY22ADM - SPED Self-Contained" totalsRowFunction="sum" dataDxfId="289" totalsRowDxfId="288" dataCellStyle="Comma"/>
    <tableColumn id="66" xr3:uid="{431CF3AB-1870-4FB7-BAEE-46331E523210}" name="Oct 1, 2022 - K" totalsRowFunction="sum" dataDxfId="287" totalsRowDxfId="286" dataCellStyle="Comma"/>
    <tableColumn id="67" xr3:uid="{00CF8628-12B5-4BC7-BBF0-6263E307D686}" name="Oct 1, 2022 - Grades 1-6" totalsRowFunction="sum" dataDxfId="285" totalsRowDxfId="284" dataCellStyle="Comma"/>
    <tableColumn id="68" xr3:uid="{F80BD0E9-131E-4D2D-87AE-E0CC61871533}" name="Oct 1, 2022 - Grades 7-8" totalsRowFunction="sum" dataDxfId="283" totalsRowDxfId="282" dataCellStyle="Comma"/>
    <tableColumn id="69" xr3:uid="{A359FF0F-B475-401B-9734-5E2DD9CB977E}" name="Oct 1, 2022 - Grades 9-12" totalsRowFunction="sum" dataDxfId="281" totalsRowDxfId="280" dataCellStyle="Comma"/>
    <tableColumn id="70" xr3:uid="{5DDEBF29-B35F-4D81-8711-D9972F496633}" name="Oct 1, 2022 - Grades K-12" totalsRowFunction="sum" dataDxfId="279" totalsRowDxfId="278" dataCellStyle="Comma"/>
    <tableColumn id="71" xr3:uid="{220206ED-986D-426F-87A2-BC2EBB90B2F4}" name="Oct 1, 2022 - Grades 1-12" totalsRowFunction="sum" dataDxfId="277" totalsRowDxfId="276" dataCellStyle="Comma"/>
    <tableColumn id="72" xr3:uid="{F1C53064-8901-4651-A758-1F4807F73AF0}" name="Oct 1, 2022 - Grades K-8" totalsRowFunction="sum" dataDxfId="275" totalsRowDxfId="274" dataCellStyle="Comma"/>
    <tableColumn id="74" xr3:uid="{F738B7DF-AF41-4F4C-A0B5-3C1F4F31298F}" name="Oct 1, 2022 - Self-Contained" totalsRowFunction="sum" dataDxfId="273" totalsRowDxfId="272" dataCellStyle="Comma"/>
    <tableColumn id="5" xr3:uid="{4A718BDF-6FE2-48EC-B014-69CC4AE795C3}" name="FY23 ADM - K" totalsRowFunction="sum" dataDxfId="271" totalsRowDxfId="270"/>
    <tableColumn id="6" xr3:uid="{2DCCDA9F-8EB4-449B-A487-FD5C7DC95F21}" name="FY23 ADM - Grade 1" totalsRowFunction="sum" dataDxfId="269" totalsRowDxfId="268"/>
    <tableColumn id="7" xr3:uid="{BEE01751-BEAC-4B04-8A65-EE4C80367269}" name="FY23 ADM - Grade 2" totalsRowFunction="sum" dataDxfId="267" totalsRowDxfId="266"/>
    <tableColumn id="8" xr3:uid="{9889586B-1D02-471B-830B-E9F81C708102}" name="FY23 ADM - Grade 3" totalsRowFunction="sum" dataDxfId="265" totalsRowDxfId="264"/>
    <tableColumn id="9" xr3:uid="{83E1A455-273D-4E9A-B7D7-4C6A5B43CD73}" name="FY23 ADM - Grade 4" totalsRowFunction="sum" dataDxfId="263" totalsRowDxfId="262"/>
    <tableColumn id="10" xr3:uid="{20917A31-308F-409B-98B1-B9BFFB3096D0}" name="FY23 ADM - Grade 5" totalsRowFunction="sum" dataDxfId="261" totalsRowDxfId="260"/>
    <tableColumn id="11" xr3:uid="{60CD7ACA-1039-4BA8-9E4F-81F1141BC56F}" name="FY23 ADM - Grade 6" totalsRowFunction="sum" dataDxfId="259" totalsRowDxfId="258"/>
    <tableColumn id="12" xr3:uid="{521B8CF7-DDC6-4AE5-9E8A-97BD43FBD23F}" name="FY23 ADM - Grade 7" totalsRowFunction="sum" dataDxfId="257" totalsRowDxfId="256"/>
    <tableColumn id="13" xr3:uid="{A2A4C51B-D7FA-41BD-AA90-516B575CC55E}" name="FY23 ADM - Grade 8" totalsRowFunction="sum" dataDxfId="255" totalsRowDxfId="254"/>
    <tableColumn id="14" xr3:uid="{D1CE78E1-17E3-4829-ACD9-D1F6D6E86D15}" name="FY23 ADM - Grade 9" totalsRowFunction="sum" dataDxfId="253" totalsRowDxfId="252"/>
    <tableColumn id="15" xr3:uid="{CF8EC265-44ED-4A77-9C29-0AB9A2E129A9}" name="FY23 ADM - Grade 10" totalsRowFunction="sum" dataDxfId="251" totalsRowDxfId="250"/>
    <tableColumn id="16" xr3:uid="{E319C11D-469F-47F7-9ABC-E7C7D49DBC8E}" name="FY23 ADM - Grade 11" totalsRowFunction="sum" dataDxfId="249" totalsRowDxfId="248"/>
    <tableColumn id="17" xr3:uid="{EC1593FE-85CA-4474-9FE9-0383BE82E78C}" name="FY23 ADM - Grade 12" totalsRowFunction="sum" dataDxfId="247" totalsRowDxfId="246"/>
    <tableColumn id="31" xr3:uid="{A128F2C7-9C33-4646-8AA5-B02EA63A81F6}" name="FY23 ADM - Grades 1-6" totalsRowFunction="sum" dataDxfId="245" totalsRowDxfId="244"/>
    <tableColumn id="32" xr3:uid="{3432E2E1-A44D-461A-8DA5-5BD1FD794CC9}" name="FY23 ADM - Grades 7-8" totalsRowFunction="sum" dataDxfId="243" totalsRowDxfId="242"/>
    <tableColumn id="33" xr3:uid="{E6E6F273-CD62-4C50-B052-1D11ABAA8A56}" name="FY23 ADM - Grades 9-12" totalsRowFunction="sum" dataDxfId="241" totalsRowDxfId="240"/>
    <tableColumn id="42" xr3:uid="{509A3153-CC14-47DD-AF76-0CE0966E25EF}" name="FY23 ADM - Grades K-8" totalsRowFunction="sum" dataDxfId="239" totalsRowDxfId="238"/>
    <tableColumn id="44" xr3:uid="{70F3C642-AF78-48DC-A1CE-83D2E49F1D34}" name="FY23 ADM - Grades 1-12" totalsRowFunction="sum" dataDxfId="237" totalsRowDxfId="236"/>
    <tableColumn id="45" xr3:uid="{B276D56C-95DA-410B-A61F-F8C35F5BC2A0}" name="FY23 ADM - Grades K-12" totalsRowFunction="sum" dataDxfId="235" totalsRowDxfId="234"/>
    <tableColumn id="35" xr3:uid="{AA8DE7FB-0C0D-407A-8E47-50A765B121ED}" name="FY23ADM - SPED Resource" totalsRowFunction="sum" dataDxfId="233" totalsRowDxfId="232" dataCellStyle="Comma"/>
    <tableColumn id="36" xr3:uid="{BF09C164-E694-45F4-9BCA-D15DEB8DA548}" name="FY23ADM - SPED Self-Contained" totalsRowFunction="sum" dataDxfId="231" totalsRowDxfId="230" dataCellStyle="Comma"/>
    <tableColumn id="64" xr3:uid="{5DD8FC6B-2CF0-428C-A972-3CDEF74002EA}" name="FY23ADM - Total SPED" totalsRowFunction="sum" dataDxfId="229" totalsRowDxfId="228" dataCellStyle="Comma"/>
    <tableColumn id="18" xr3:uid="{A025B92E-2070-497D-BED8-55E71D6CC37D}" name="Oct. 1, 2023 - K" totalsRowFunction="sum" dataDxfId="227" totalsRowDxfId="226" dataCellStyle="Comma"/>
    <tableColumn id="19" xr3:uid="{E073B3FB-9BC5-4EF8-A475-5A79BD11B744}" name="Oct. 1, 2023 - Grade 1" totalsRowFunction="sum" dataDxfId="225" totalsRowDxfId="224"/>
    <tableColumn id="20" xr3:uid="{D4DD790E-0E08-4D7E-9671-F601BE668BCC}" name="Oct. 1, 2023 - Grade 2" totalsRowFunction="sum" dataDxfId="223" totalsRowDxfId="222"/>
    <tableColumn id="21" xr3:uid="{9ABE3D73-DEFB-43D2-BA10-2653C2EDB7C1}" name="Oct. 1, 2023 - Grade 3" totalsRowFunction="sum" dataDxfId="221" totalsRowDxfId="220"/>
    <tableColumn id="22" xr3:uid="{D4EA46B0-D555-48ED-BE27-7C5380F304D8}" name="Oct. 1, 2023 - Grade 4" totalsRowFunction="sum" dataDxfId="219" totalsRowDxfId="218"/>
    <tableColumn id="23" xr3:uid="{C8CE6210-17B0-43EE-B0FC-1D4EBBF36E72}" name="Oct. 1, 2023 - Grade 5" totalsRowFunction="sum" dataDxfId="217" totalsRowDxfId="216"/>
    <tableColumn id="24" xr3:uid="{6E0A403D-8C1A-43F1-ACA1-41B1C662D6CC}" name="Oct. 1, 2023 - Grade 6" totalsRowFunction="sum" dataDxfId="215" totalsRowDxfId="214"/>
    <tableColumn id="25" xr3:uid="{E6405E41-8006-48E2-991F-D7A4D7FCA925}" name="Oct. 1, 2023 - Grade 7" totalsRowFunction="sum" dataDxfId="213" totalsRowDxfId="212"/>
    <tableColumn id="26" xr3:uid="{5080E547-114C-4485-8DBE-999718DADE01}" name="Oct. 1, 2023 - Grade 8" totalsRowFunction="sum" dataDxfId="211" totalsRowDxfId="210"/>
    <tableColumn id="27" xr3:uid="{3B7CB816-AD9A-4F1E-AE13-48537C79B7D0}" name="Oct. 1, 2023 - Grade 9" totalsRowFunction="sum" dataDxfId="209" totalsRowDxfId="208"/>
    <tableColumn id="28" xr3:uid="{7BE00A3F-D377-4160-84FE-15C2851DC70B}" name="Oct. 1, 2023 - Grade 10" totalsRowFunction="sum" dataDxfId="207" totalsRowDxfId="206"/>
    <tableColumn id="29" xr3:uid="{7E920438-800E-4153-8F9C-C77382001ED8}" name="Oct. 1, 2023 - Grade 11" totalsRowFunction="sum" dataDxfId="205" totalsRowDxfId="204"/>
    <tableColumn id="30" xr3:uid="{B256F4C6-99F8-49FF-BC26-ECA4E3625949}" name="Oct. 1, 2023 - Grade 12" totalsRowFunction="sum" dataDxfId="203" totalsRowDxfId="202"/>
    <tableColumn id="37" xr3:uid="{59233205-B6D1-4413-8DAB-28F87903EF0B}" name="Oct. 1, 2023 - Grades 1-6" totalsRowFunction="sum" dataDxfId="201" totalsRowDxfId="200"/>
    <tableColumn id="39" xr3:uid="{60990D7B-1755-4F98-B6B4-2BE4B51EC7C5}" name="Oct. 1, 2023 - Grades 7-8" totalsRowFunction="sum" dataDxfId="199" totalsRowDxfId="198"/>
    <tableColumn id="40" xr3:uid="{426739E2-4EC4-4706-82E4-FD90EEB65A2E}" name="Oct. 1, 2023 - Grades 9-12" totalsRowFunction="sum" dataDxfId="197" totalsRowDxfId="196"/>
    <tableColumn id="46" xr3:uid="{1D119D27-40B9-41A9-AB12-D17ABA3270EF}" name="Oct. 1, 2023 - Grades K-8" totalsRowFunction="sum" dataDxfId="195" totalsRowDxfId="194"/>
    <tableColumn id="47" xr3:uid="{41B6D6EA-C0C0-4BD6-A406-1134A69823D5}" name="Oct. 1, 2023 - Grades 1-12" totalsRowFunction="sum" dataDxfId="193" totalsRowDxfId="192"/>
    <tableColumn id="48" xr3:uid="{7A73E6FA-DC8D-46DF-B401-E9ED85B844D3}" name="Oct. 1, 2023 - Grades K-12" totalsRowFunction="sum" dataDxfId="191" totalsRowDxfId="190"/>
    <tableColumn id="63" xr3:uid="{B29019EE-2001-46F9-BD65-B4B492A07DD5}" name="Oct. 1, 2023 - FDK Counts" totalsRowFunction="sum" dataDxfId="189" totalsRowDxfId="188"/>
    <tableColumn id="73" xr3:uid="{B8CB6FD5-BD38-40D0-B659-E27F59F27FAB}" name="Oct. 1, 2023 - HDK Counts" totalsRowFunction="sum" dataDxfId="187" totalsRowDxfId="186"/>
    <tableColumn id="58" xr3:uid="{3C6F86AA-248A-4104-AC5B-2B7549E5B120}" name="Oct. 1, 2023 - Foreign Exchange" totalsRowFunction="sum" dataDxfId="185" totalsRowDxfId="184"/>
    <tableColumn id="59" xr3:uid="{11F23E19-5B07-4992-AAFB-82961682FCF3}" name="Oct. 1, 2023 - Econ. Disadv." totalsRowFunction="sum" dataDxfId="183" totalsRowDxfId="182"/>
    <tableColumn id="60" xr3:uid="{E41D3AC8-93DD-4CC3-A428-376EDCC166FF}" name="Oct. 1, 2023 - SPED Resource" totalsRowFunction="sum" dataDxfId="181" totalsRowDxfId="180"/>
    <tableColumn id="34" xr3:uid="{74776538-CB0E-4789-8F82-85445A59F3C5}" name="Oct. 1, 2023 - SPED Self-Contained" totalsRowFunction="sum" dataDxfId="179" totalsRowDxfId="178" dataCellStyle="Comma"/>
    <tableColumn id="38" xr3:uid="{546012D5-7FE5-44D9-9EB5-47D1088309B8}" name="Oct. 1, 2023 - Total SPED" totalsRowFunction="sum" dataDxfId="177" totalsRowDxfId="176" dataCellStyle="Comma"/>
    <tableColumn id="65" xr3:uid="{2B6C36CC-C633-4C04-A115-EC0AFE05711E}" name="Oct. 1, 2023 - LEP" totalsRowFunction="sum" dataDxfId="175" totalsRowDxfId="174" dataCellStyle="Comma"/>
    <tableColumn id="41" xr3:uid="{1E5C63F2-AA77-46B5-917E-1E125BDC8701}" name="Prostaff Ratios" totalsRowFunction="sum" dataDxfId="173" totalsRowDxfId="172" dataCellStyle="Comma"/>
    <tableColumn id="49" xr3:uid="{F6B216DB-79AF-4658-A825-279BC70C8326}" name="ESA - All - FY24" totalsRowFunction="sum" dataDxfId="171" totalsRowDxfId="170" dataCellStyle="Comma"/>
    <tableColumn id="50" xr3:uid="{8146CB83-3C11-4A3D-AF16-55195845EBC0}" name="ESA - Educators Only - FY24" totalsRowFunction="sum" dataDxfId="169" totalsRowDxfId="168" dataCellStyle="Comma"/>
    <tableColumn id="51" xr3:uid="{7E2F2D36-A00C-4DA7-BDCF-99148A5C5C7A}" name="TSM FTE - FY24" totalsRowFunction="sum" dataDxfId="167" totalsRowDxfId="166" dataCellStyle="Comma"/>
    <tableColumn id="52" xr3:uid="{517799B3-34D9-424C-BD3D-DB01EBE74D3D}" name="Educ. Prof. Hrs. FTE - FY24" totalsRowFunction="sum" dataDxfId="165" totalsRowDxfId="164" dataCellStyle="Comma"/>
    <tableColumn id="75" xr3:uid="{064A9615-09ED-476C-8EF5-4938CAA78DED}" name="Oct 1 2020 Counts - Online Students &gt;180 Days " totalsRowFunction="sum" dataDxfId="163" totalsRowDxfId="162" dataCellStyle="Comma"/>
    <tableColumn id="76" xr3:uid="{E4230AEB-6A75-4646-BBF7-5C4D2DFDBC46}" name="Oct 1 2023 Counts - Online Students &gt;180 Days in FY2023/Still Online on Oct 1" totalsRowFunction="sum" dataDxfId="161" totalsRowDxfId="160" dataCellStyle="Comma"/>
    <tableColumn id="77" xr3:uid="{5E3302C9-EC57-4BB3-B237-A02C30CEDE58}" name="FY23 ADM - Online Students &gt;180 Days " totalsRowFunction="sum" dataDxfId="159" totalsRowDxfId="158" dataCellStyle="Comma"/>
    <tableColumn id="79" xr3:uid="{601D8952-6D3E-4263-B914-84DC16A48EBE}" name="FY24 ADM - Half Day K" totalsRowFunction="sum" dataDxfId="157" totalsRowDxfId="156" dataCellStyle="Comma"/>
    <tableColumn id="101" xr3:uid="{BDA1FFDE-1E25-442F-91DB-8D9042DEF27A}" name="FY24 ADM - Full Day K" totalsRowFunction="sum" dataDxfId="155" totalsRowDxfId="154" dataCellStyle="Comma"/>
    <tableColumn id="102" xr3:uid="{152874E8-44E7-4355-A4CB-0DEF83C0EF41}" name="FY24 ADM - Total K" totalsRowFunction="sum" dataDxfId="153" totalsRowDxfId="152" dataCellStyle="Comma"/>
    <tableColumn id="85" xr3:uid="{2EEF2594-11DE-4980-B22B-0EBA902396AA}" name="FY24 ADM - Grade 1" totalsRowFunction="sum" dataDxfId="151" totalsRowDxfId="150" dataCellStyle="Comma"/>
    <tableColumn id="91" xr3:uid="{8AB9A9EE-B706-4B0D-AF4F-26E687B47A15}" name="FY24 ADM - Grade 2" totalsRowFunction="sum" dataDxfId="149" totalsRowDxfId="148" dataCellStyle="Comma"/>
    <tableColumn id="92" xr3:uid="{13D40EBC-80D8-4F21-BE04-D432F3740161}" name="FY24 ADM - Grade 3" totalsRowFunction="sum" dataDxfId="147" totalsRowDxfId="146" dataCellStyle="Comma"/>
    <tableColumn id="93" xr3:uid="{0D7E4F33-12E7-4C6A-81FC-228C816B483E}" name="FY24 ADM - Grade 4" totalsRowFunction="sum" dataDxfId="145" totalsRowDxfId="144" dataCellStyle="Comma"/>
    <tableColumn id="94" xr3:uid="{19CF4770-3E72-49F7-8869-51749E32BBBA}" name="FY24 ADM - Grade 5" totalsRowFunction="sum" dataDxfId="143" totalsRowDxfId="142" dataCellStyle="Comma"/>
    <tableColumn id="95" xr3:uid="{F0ECF0CB-185E-4C08-9075-C30CD3B6E0C1}" name="FY24 ADM - Grade 6" totalsRowFunction="sum" dataDxfId="141" totalsRowDxfId="140" dataCellStyle="Comma"/>
    <tableColumn id="96" xr3:uid="{943D049F-BBEB-4C30-9AEB-056E5A73E3D8}" name="FY24 ADM - Grade 7" totalsRowFunction="sum" dataDxfId="139" totalsRowDxfId="138" dataCellStyle="Comma"/>
    <tableColumn id="99" xr3:uid="{4E6D909F-B6FE-4134-A266-2838A25D9406}" name="FY24 ADM - Grade 8" totalsRowFunction="sum" dataDxfId="137" totalsRowDxfId="136" dataCellStyle="Comma"/>
    <tableColumn id="100" xr3:uid="{7CFC180D-D6D6-4D7C-BD26-82BC7AEF7311}" name="FY24 ADM - Grade 9" totalsRowFunction="sum" dataDxfId="135" totalsRowDxfId="134" dataCellStyle="Comma"/>
    <tableColumn id="97" xr3:uid="{EA1B2869-8613-4C81-A0C0-573EF76B4FB3}" name="FY24 ADM - Grade 10" totalsRowFunction="sum" dataDxfId="133" totalsRowDxfId="132" dataCellStyle="Comma"/>
    <tableColumn id="98" xr3:uid="{6E73FA0C-2B8F-46CC-8FD8-71187FA4E833}" name="FY24 ADM - Grade 11" totalsRowFunction="sum" dataDxfId="131" totalsRowDxfId="130" dataCellStyle="Comma"/>
    <tableColumn id="86" xr3:uid="{3B27B374-5597-41A5-AC54-C47207BD5044}" name="FY24 ADM - Grade 12" totalsRowFunction="sum" dataDxfId="129" totalsRowDxfId="128" dataCellStyle="Comma"/>
    <tableColumn id="87" xr3:uid="{08F14C12-1B1A-4496-823A-1EF4D95347A4}" name="FY24 ADM - Grades 1-6" totalsRowFunction="sum" dataDxfId="127" totalsRowDxfId="126" dataCellStyle="Comma"/>
    <tableColumn id="88" xr3:uid="{CBDDF56E-E51F-4AE4-8BFB-B47B14FFF523}" name="FY24 ADM - Grades 7-8" totalsRowFunction="sum" dataDxfId="125" totalsRowDxfId="124" dataCellStyle="Comma"/>
    <tableColumn id="89" xr3:uid="{18590D80-324A-470E-A28B-0CEA4501BCC9}" name="FY24 ADM - Grades 9-12" totalsRowFunction="sum" dataDxfId="123" totalsRowDxfId="122" dataCellStyle="Comma"/>
    <tableColumn id="80" xr3:uid="{5967AD0D-B52E-47CE-87B7-7EDD6A6A22AC}" name="FY24 ADM - Grades K-8" totalsRowFunction="sum" dataDxfId="121" totalsRowDxfId="120" dataCellStyle="Comma"/>
    <tableColumn id="81" xr3:uid="{9D796163-BD65-4DE7-9724-C270B8DCE5AD}" name="FY24 ADM - Grades 1-12" totalsRowFunction="sum" dataDxfId="119" totalsRowDxfId="118" dataCellStyle="Comma"/>
    <tableColumn id="82" xr3:uid="{B4745F01-6458-4B08-9B97-3D7BE37CFF4F}" name="FY24 ADM - Grades K-12" totalsRowFunction="sum" dataDxfId="117" totalsRowDxfId="116" dataCellStyle="Comma"/>
    <tableColumn id="83" xr3:uid="{8C1BD97D-58E6-4D21-94E5-016F8575B035}" name="FY24 ADM - SPED Resource" totalsRowFunction="sum" dataDxfId="115" totalsRowDxfId="114" dataCellStyle="Comma"/>
    <tableColumn id="90" xr3:uid="{AA9A1462-88FC-48BA-BFDA-45E40BEA5070}" name="FY24 ADM - SPED Self-Contained" totalsRowFunction="sum" dataDxfId="113" totalsRowDxfId="112" dataCellStyle="Comma"/>
    <tableColumn id="84" xr3:uid="{1341A04C-3E96-45CC-928B-80E7E4594AA3}" name="FY24 ADM - Total SPED" totalsRowFunction="sum" dataDxfId="111" totalsRowDxfId="110" dataCellStyle="Comma"/>
    <tableColumn id="138" xr3:uid="{3D735553-ACD1-4D6D-BD95-C4384E031779}" name="FY24 ADM - Online Students - Online All 180 Days" totalsRowFunction="sum" dataDxfId="109" totalsRowDxfId="108" dataCellStyle="Comma"/>
    <tableColumn id="131" xr3:uid="{552E5527-692D-4889-8335-DEB622F95F89}" name="Oct. 1, 2024 - FDK" totalsRowFunction="sum" dataDxfId="107" totalsRowDxfId="106" dataCellStyle="Comma"/>
    <tableColumn id="128" xr3:uid="{D9E46723-8D97-48B3-B186-254312A13612}" name="Oct. 1, 2024 - HDK" totalsRowFunction="sum" dataDxfId="105" totalsRowDxfId="104" dataCellStyle="Comma"/>
    <tableColumn id="129" xr3:uid="{E0BF49F9-90D5-4825-904A-FAF0AF895224}" name="Oct. 1, 2024 - Total K" totalsRowFunction="sum" dataDxfId="103" totalsRowDxfId="102" dataCellStyle="Comma"/>
    <tableColumn id="130" xr3:uid="{F94762D4-3269-4A3B-8996-3A8E322CB091}" name="Oct. 1, 2024 - Grade 1" totalsRowFunction="sum" dataDxfId="101" totalsRowDxfId="100" dataCellStyle="Comma"/>
    <tableColumn id="125" xr3:uid="{C10EA799-0C5B-44C6-ABA2-36B04D78D035}" name="Oct. 1, 2024 - Grade 2" totalsRowFunction="sum" dataDxfId="99" totalsRowDxfId="98" dataCellStyle="Comma"/>
    <tableColumn id="126" xr3:uid="{A9FD568C-ED4F-4190-8DC8-9DCF5E54BB89}" name="Oct. 1, 2024 - Grade 3" totalsRowFunction="sum" dataDxfId="97" totalsRowDxfId="96" dataCellStyle="Comma"/>
    <tableColumn id="127" xr3:uid="{3A9A9972-5D59-4B4B-A43A-DF30E78AC590}" name="Oct. 1, 2024 - Grade 4" totalsRowFunction="sum" dataDxfId="95" totalsRowDxfId="94" dataCellStyle="Comma"/>
    <tableColumn id="122" xr3:uid="{0F23FC08-AB6B-4601-B717-00C0A2406C79}" name="Oct. 1, 2024 - Grade 5" totalsRowFunction="sum" dataDxfId="93" totalsRowDxfId="92" dataCellStyle="Comma"/>
    <tableColumn id="123" xr3:uid="{B5549990-B394-419C-BA18-D0EBD61F8911}" name="Oct. 1, 2024 - Grade 6" totalsRowFunction="sum" dataDxfId="91" totalsRowDxfId="90" dataCellStyle="Comma"/>
    <tableColumn id="124" xr3:uid="{9409ACF1-71DE-4271-A0B3-2A094048FE93}" name="Oct. 1, 2024 - Grade 7" totalsRowFunction="sum" dataDxfId="89" totalsRowDxfId="88" dataCellStyle="Comma"/>
    <tableColumn id="119" xr3:uid="{9996EB46-D3AD-4494-A29F-30370BECC6BD}" name="Oct. 1, 2024 - Grade 8" totalsRowFunction="sum" dataDxfId="87" totalsRowDxfId="86" dataCellStyle="Comma"/>
    <tableColumn id="120" xr3:uid="{A60BAF5E-F0FE-4040-AFE4-78C8C7BEA904}" name="Oct. 1, 2024 - Grade 9" totalsRowFunction="sum" dataDxfId="85" totalsRowDxfId="84" dataCellStyle="Comma"/>
    <tableColumn id="121" xr3:uid="{2F42857A-7FC5-4D61-999A-EC0992D7730A}" name="Oct. 1, 2024 - Grade 10" totalsRowFunction="sum" dataDxfId="83" totalsRowDxfId="82" dataCellStyle="Comma"/>
    <tableColumn id="116" xr3:uid="{4F6277F8-B150-4DA3-A55E-98541092C628}" name="Oct. 1, 2024 - Grade 11" totalsRowFunction="sum" dataDxfId="81" totalsRowDxfId="80" dataCellStyle="Comma"/>
    <tableColumn id="117" xr3:uid="{659BC8BD-C682-4549-8C64-445308D512C7}" name="Oct. 1, 2024 - Grade 12" totalsRowFunction="sum" dataDxfId="79" totalsRowDxfId="78" dataCellStyle="Comma"/>
    <tableColumn id="118" xr3:uid="{C9C51DE6-35B2-4CCC-89EB-62A3AC3AE65A}" name="Oct. 1, 2024 - Grades 1-6" totalsRowFunction="sum" dataDxfId="77" totalsRowDxfId="76" dataCellStyle="Comma"/>
    <tableColumn id="113" xr3:uid="{F97587D0-A2AA-4DFF-84A3-926FB987C9DD}" name="Oct. 1, 2024 - Grades 7-8" totalsRowFunction="sum" dataDxfId="75" totalsRowDxfId="74" dataCellStyle="Comma"/>
    <tableColumn id="114" xr3:uid="{52CA84D1-69E8-4113-9163-C30E77B90E66}" name="Oct. 1, 2024 - Grades 9-12" totalsRowFunction="sum" dataDxfId="73" totalsRowDxfId="72" dataCellStyle="Comma"/>
    <tableColumn id="115" xr3:uid="{9D183317-1B46-474A-963D-8C80E514E609}" name="Oct. 1, 2024 - Grades K-8" totalsRowFunction="sum" dataDxfId="71" totalsRowDxfId="70" dataCellStyle="Comma"/>
    <tableColumn id="110" xr3:uid="{F6EA289F-A910-4EE1-B0D7-C221E4FE4F9C}" name="Oct. 1, 2024 - Grades 1-12" totalsRowFunction="sum" dataDxfId="69" totalsRowDxfId="68" dataCellStyle="Comma"/>
    <tableColumn id="111" xr3:uid="{E4196FA4-EC3C-4C3F-8A28-A833C73F262B}" name="Oct. 1, 2024 - Grades K-12" totalsRowFunction="sum" dataDxfId="67" totalsRowDxfId="66" dataCellStyle="Comma"/>
    <tableColumn id="112" xr3:uid="{64BEA9A1-FF28-4586-A7A2-E992C748782C}" name="Oct. 1, 2024 - Foreign Exchange" totalsRowFunction="sum" dataDxfId="65" totalsRowDxfId="64" dataCellStyle="Comma"/>
    <tableColumn id="107" xr3:uid="{F92A74D9-2EF3-475A-9C87-506B96449012}" name="Oct. 1, 2024 - Econ. Disadv." totalsRowFunction="sum" dataDxfId="63" totalsRowDxfId="62" dataCellStyle="Comma"/>
    <tableColumn id="108" xr3:uid="{A6F8AEFB-4B58-48C8-BE8A-9DB794E308F4}" name="Oct. 1, 2024 - SPED Resource" totalsRowFunction="sum" dataDxfId="61" totalsRowDxfId="60" dataCellStyle="Comma"/>
    <tableColumn id="109" xr3:uid="{1846C75E-F761-4B6E-970F-3AF8E5B641C8}" name="Oct. 1, 2024 - SPED Self-Contained" totalsRowFunction="sum" dataDxfId="59" totalsRowDxfId="58" dataCellStyle="Comma"/>
    <tableColumn id="106" xr3:uid="{4BB6263A-4932-481B-9619-4F9AA1958527}" name="Oct. 1, 2024 - Total SPED" totalsRowFunction="sum" dataDxfId="57" totalsRowDxfId="56" dataCellStyle="Comma"/>
    <tableColumn id="105" xr3:uid="{33474C1B-F2C5-415B-B30B-D8E89DC9054F}" name="Oct. 1, 2024 - LEP" totalsRowFunction="sum" dataDxfId="55" totalsRowDxfId="54" dataCellStyle="Comma"/>
    <tableColumn id="135" xr3:uid="{6D4AD8AD-AA37-4362-AE4F-B7DAA47F1AD5}" name="ESA - All - FY25" totalsRowFunction="sum" dataDxfId="53" totalsRowDxfId="52" dataCellStyle="Comma"/>
    <tableColumn id="136" xr3:uid="{AE1CC8FB-698B-4BDB-9745-3565CAAA3CA6}" name="ESA - Educators Only - FY25" totalsRowFunction="sum" dataDxfId="51" totalsRowDxfId="50" dataCellStyle="Comma"/>
    <tableColumn id="134" xr3:uid="{5B1A0F8E-28FD-4331-8245-E7877DC3986B}" name="TSM FTE - Elementary - FY25" totalsRowFunction="sum" dataDxfId="49" totalsRowDxfId="48" dataCellStyle="Comma"/>
    <tableColumn id="78" xr3:uid="{83BE9309-07A9-4CDD-9FA0-AECA8FADA3C9}" name="TSM FTE - Secondary - FY25" totalsRowFunction="sum" dataDxfId="47" totalsRowDxfId="46" dataCellStyle="Comma"/>
    <tableColumn id="103" xr3:uid="{C0D1165C-21ED-4A72-B8DC-318234A944D3}" name="TSM FTE - Reg. Pre-K - FY25" totalsRowFunction="sum" dataDxfId="45" totalsRowDxfId="44" dataCellStyle="Comma"/>
    <tableColumn id="133" xr3:uid="{F50D72D1-59C9-475B-B119-FA3823F13F42}" name="Educ. Prof. Hrs. FTE - FY25" totalsRowFunction="sum" dataDxfId="43" totalsRowDxfId="42" dataCellStyle="Comma"/>
    <tableColumn id="142" xr3:uid="{EA395ECE-2E45-4FC2-BBF9-628015FE3175}" name="ProStaff Ratios - FY24 YE" totalsRowFunction="sum" dataDxfId="41" totalsRowDxfId="40" dataCellStyle="Comma"/>
    <tableColumn id="132" xr3:uid="{FC38607F-A741-42E2-B239-01AF87258E0F}" name="Oct 1 2024 Counts - Online Students &gt;=180 Days in FY2024/Still Online on Oct 1" totalsRowFunction="sum" dataDxfId="39" totalsRowDxfId="38" dataCellStyle="Comma"/>
    <tableColumn id="137" xr3:uid="{53934835-F278-42F0-9CBB-1A8488BF42AD}" name="Oct 1, 2025 (CDC) - K" totalsRowFunction="sum" dataDxfId="37" totalsRowDxfId="36" dataCellStyle="Comma"/>
    <tableColumn id="141" xr3:uid="{C214D627-9141-4E76-BB0E-8D0CDF0BEDCF}" name="Oct 1, 2025 (CDC) - Grades 1-12" totalsRowFunction="sum" dataDxfId="35" totalsRowDxfId="34" dataCellStyle="Comma"/>
    <tableColumn id="140" xr3:uid="{8C5B6DE7-98F8-46B6-849D-B502E9A681A8}" name="Oct 1, 2025 (CDC) - Grades 1-6" totalsRowFunction="sum" dataDxfId="33" totalsRowDxfId="32" dataCellStyle="Comma"/>
    <tableColumn id="139" xr3:uid="{28EA030F-F32E-4F5C-8894-2F046E756CBB}" name="Oct 1, 2025 (CDC) - Grades 7-8" totalsRowFunction="sum" dataDxfId="31" totalsRowDxfId="30" dataCellStyle="Comma"/>
    <tableColumn id="104" xr3:uid="{2D1900CE-07F2-458C-BA36-3A7C66474ED0}" name="Oct 1, 2025 (CDC) - Grades 9-12" totalsRowFunction="sum" dataDxfId="29" totalsRowDxfId="28" dataCellStyle="Comma"/>
    <tableColumn id="43" xr3:uid="{6B699113-C3FF-45D8-ACD0-E78FA62E2A05}" name="Oct 1, 2025 (CDC) - Grades K-12" totalsRowFunction="sum" dataDxfId="27" totalsRowDxfId="26" dataCellStyle="Comma"/>
    <tableColumn id="53" xr3:uid="{CA967DDB-AE9F-4E91-BB85-E69680719DCB}" name="December 1, 2025 - SPED Pre-K 3-5 Count" totalsRowFunction="sum" dataDxfId="25" totalsRowDxfId="24" dataCellStyle="Comma"/>
    <tableColumn id="56" xr3:uid="{3607DEE7-A8F2-42FB-B8E9-93783AC0F656}" name="December 1, 2025 - SPED K-12" totalsRowFunction="sum" dataDxfId="23" totalsRowDxfId="22" dataCellStyle="Comma"/>
    <tableColumn id="55" xr3:uid="{6DBAF134-F976-4A46-919D-51D8DFF13B9C}" name="December 1, 2025 - SPED PreK-12 - All Ages" totalsRowFunction="sum" dataDxfId="21" totalsRowDxfId="20" dataCellStyle="Comma"/>
    <tableColumn id="57" xr3:uid="{4219AB44-421D-46E8-9CEB-01617F800EB1}" name="December 1, 2024 - SPED Resource" totalsRowFunction="sum" dataDxfId="19" totalsRowDxfId="18" dataCellStyle="Comma"/>
    <tableColumn id="145" xr3:uid="{A928C6EB-677B-4CE0-A2BA-B322B56B0CBD}" name="December 1, 2024 - SPED Self-Contained" totalsRowFunction="sum" dataDxfId="17" totalsRowDxfId="16" dataCellStyle="Comma"/>
    <tableColumn id="54" xr3:uid="{D2D8CF5E-707D-4308-A825-30E590A31A5E}" name="FY24 ESY Count" totalsRowFunction="sum" dataDxfId="15" totalsRowDxfId="14" dataCellStyle="Comma"/>
    <tableColumn id="146" xr3:uid="{0EF5764D-4EEC-4615-81C0-B902BC4BD24B}" name="FY24 Classified FTE: Instructional Paraprofessionals" totalsRowFunction="sum" dataDxfId="13" totalsRowDxfId="12" dataCellStyle="Comma"/>
    <tableColumn id="147" xr3:uid="{7FCAC3AC-7949-4D0F-9BBB-99A0885DD65F}" name="FY24 Classified FTE: Library Paraprofessionals" totalsRowFunction="sum" dataDxfId="11" totalsRowDxfId="10" dataCellStyle="Comma"/>
    <tableColumn id="148" xr3:uid="{27586A6C-B90C-4799-BC96-67FAA7E48B9D}" name="FY24 Classified FTE: School Support" totalsRowFunction="sum" dataDxfId="9" totalsRowDxfId="8" dataCellStyle="Comma"/>
    <tableColumn id="149" xr3:uid="{1D265DF2-332F-45C9-848F-381343990285}" name="FY24 Classified FTE: Student Support" totalsRowFunction="sum" dataDxfId="7" totalsRowDxfId="6" dataCellStyle="Comma"/>
    <tableColumn id="150" xr3:uid="{71E03498-14DC-4DCB-BEBD-348760C6BAC7}" name="FY24 Classified FTE: Other Support Staff" totalsRowFunction="sum" dataDxfId="5" totalsRowDxfId="4" dataCellStyle="Comma"/>
    <tableColumn id="151" xr3:uid="{F6E5418C-4257-4237-96F3-4CA98B9EC629}" name="FY24 Classified FTE: All Qualifying FTE" totalsRowFunction="sum" dataDxfId="3" totalsRowDxfId="2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AE83C-C406-466A-8EF7-31A7569897ED}">
  <dimension ref="A1:J161"/>
  <sheetViews>
    <sheetView zoomScale="80" zoomScaleNormal="80" workbookViewId="0">
      <pane ySplit="1" topLeftCell="A131" activePane="bottomLeft" state="frozen"/>
      <selection pane="bottomLeft" activeCell="G2" sqref="G2:G161"/>
    </sheetView>
  </sheetViews>
  <sheetFormatPr defaultColWidth="8.77734375" defaultRowHeight="14.4" x14ac:dyDescent="0.3"/>
  <cols>
    <col min="1" max="1" width="8.77734375" style="13"/>
    <col min="2" max="2" width="17.77734375" style="13" customWidth="1"/>
    <col min="3" max="3" width="42.33203125" style="14" bestFit="1" customWidth="1"/>
    <col min="4" max="4" width="11" style="14" customWidth="1"/>
    <col min="5" max="5" width="15.5546875" style="14" customWidth="1"/>
    <col min="6" max="6" width="14" style="15" bestFit="1" customWidth="1"/>
    <col min="7" max="7" width="18.33203125" style="16" bestFit="1" customWidth="1"/>
    <col min="8" max="8" width="8.77734375" style="14"/>
    <col min="9" max="9" width="15.21875" style="14" bestFit="1" customWidth="1"/>
    <col min="10" max="16384" width="8.77734375" style="14"/>
  </cols>
  <sheetData>
    <row r="1" spans="1:10" x14ac:dyDescent="0.3">
      <c r="A1" s="13" t="s">
        <v>41</v>
      </c>
      <c r="B1" s="13" t="s">
        <v>254</v>
      </c>
      <c r="C1" s="14" t="s">
        <v>255</v>
      </c>
      <c r="D1" s="14" t="s">
        <v>256</v>
      </c>
      <c r="E1" s="14" t="s">
        <v>257</v>
      </c>
      <c r="F1" s="15" t="s">
        <v>258</v>
      </c>
      <c r="G1" s="16" t="s">
        <v>259</v>
      </c>
    </row>
    <row r="2" spans="1:10" x14ac:dyDescent="0.3">
      <c r="A2" s="13">
        <v>1</v>
      </c>
      <c r="B2" s="13" t="s">
        <v>260</v>
      </c>
      <c r="C2" s="14" t="s">
        <v>0</v>
      </c>
      <c r="D2" s="14" t="s">
        <v>261</v>
      </c>
      <c r="E2" s="14" t="s">
        <v>745</v>
      </c>
      <c r="F2" s="15">
        <v>0</v>
      </c>
      <c r="G2" s="16">
        <f>_xlfn.IFNA(INDEX(Calculations!$F$3:$F$159,MATCH(Summary_Table[[#This Row],[LEA ID]],Calculations!$A$3:$A$159,0)),0)</f>
        <v>2753930.9235827066</v>
      </c>
      <c r="I2" s="16"/>
      <c r="J2" s="17"/>
    </row>
    <row r="3" spans="1:10" x14ac:dyDescent="0.3">
      <c r="A3" s="13">
        <v>2</v>
      </c>
      <c r="B3" s="13" t="s">
        <v>262</v>
      </c>
      <c r="C3" s="14" t="s">
        <v>1</v>
      </c>
      <c r="D3" s="14" t="s">
        <v>261</v>
      </c>
      <c r="E3" s="14" t="s">
        <v>745</v>
      </c>
      <c r="F3" s="15">
        <v>0</v>
      </c>
      <c r="G3" s="16">
        <f>_xlfn.IFNA(INDEX(Calculations!$F$3:$F$159,MATCH(Summary_Table[[#This Row],[LEA ID]],Calculations!$A$3:$A$159,0)),0)</f>
        <v>153320.55657112767</v>
      </c>
      <c r="I3" s="16"/>
      <c r="J3" s="17"/>
    </row>
    <row r="4" spans="1:10" x14ac:dyDescent="0.3">
      <c r="A4" s="13">
        <v>3</v>
      </c>
      <c r="B4" s="13" t="s">
        <v>263</v>
      </c>
      <c r="C4" s="14" t="s">
        <v>2</v>
      </c>
      <c r="D4" s="14" t="s">
        <v>261</v>
      </c>
      <c r="E4" s="14" t="s">
        <v>745</v>
      </c>
      <c r="F4" s="15">
        <v>0</v>
      </c>
      <c r="G4" s="16">
        <f>_xlfn.IFNA(INDEX(Calculations!$F$3:$F$159,MATCH(Summary_Table[[#This Row],[LEA ID]],Calculations!$A$3:$A$159,0)),0)</f>
        <v>490235.67097001011</v>
      </c>
      <c r="I4" s="16"/>
      <c r="J4" s="17"/>
    </row>
    <row r="5" spans="1:10" x14ac:dyDescent="0.3">
      <c r="A5" s="13">
        <v>4</v>
      </c>
      <c r="B5" s="13" t="s">
        <v>264</v>
      </c>
      <c r="C5" s="14" t="s">
        <v>3</v>
      </c>
      <c r="D5" s="14" t="s">
        <v>261</v>
      </c>
      <c r="E5" s="14" t="s">
        <v>745</v>
      </c>
      <c r="F5" s="15">
        <v>0</v>
      </c>
      <c r="G5" s="16">
        <f>_xlfn.IFNA(INDEX(Calculations!$F$3:$F$159,MATCH(Summary_Table[[#This Row],[LEA ID]],Calculations!$A$3:$A$159,0)),0)</f>
        <v>726109.8905723138</v>
      </c>
      <c r="I5" s="16"/>
      <c r="J5" s="17"/>
    </row>
    <row r="6" spans="1:10" x14ac:dyDescent="0.3">
      <c r="A6" s="13">
        <v>5</v>
      </c>
      <c r="B6" s="13" t="s">
        <v>265</v>
      </c>
      <c r="C6" s="14" t="s">
        <v>4</v>
      </c>
      <c r="D6" s="14" t="s">
        <v>261</v>
      </c>
      <c r="E6" s="14" t="s">
        <v>745</v>
      </c>
      <c r="F6" s="15">
        <v>0</v>
      </c>
      <c r="G6" s="16">
        <f>_xlfn.IFNA(INDEX(Calculations!$F$3:$F$159,MATCH(Summary_Table[[#This Row],[LEA ID]],Calculations!$A$3:$A$159,0)),0)</f>
        <v>207480.18873963278</v>
      </c>
      <c r="I6" s="16"/>
      <c r="J6" s="17"/>
    </row>
    <row r="7" spans="1:10" x14ac:dyDescent="0.3">
      <c r="A7" s="13">
        <v>6</v>
      </c>
      <c r="B7" s="13" t="s">
        <v>266</v>
      </c>
      <c r="C7" s="14" t="s">
        <v>5</v>
      </c>
      <c r="D7" s="14" t="s">
        <v>261</v>
      </c>
      <c r="E7" s="14" t="s">
        <v>745</v>
      </c>
      <c r="F7" s="15">
        <v>0</v>
      </c>
      <c r="G7" s="16">
        <f>_xlfn.IFNA(INDEX(Calculations!$F$3:$F$159,MATCH(Summary_Table[[#This Row],[LEA ID]],Calculations!$A$3:$A$159,0)),0)</f>
        <v>113809.40763735658</v>
      </c>
      <c r="I7" s="16"/>
      <c r="J7" s="17"/>
    </row>
    <row r="8" spans="1:10" x14ac:dyDescent="0.3">
      <c r="A8" s="13">
        <v>7</v>
      </c>
      <c r="B8" s="13" t="s">
        <v>267</v>
      </c>
      <c r="C8" s="14" t="s">
        <v>6</v>
      </c>
      <c r="D8" s="14" t="s">
        <v>261</v>
      </c>
      <c r="E8" s="14" t="s">
        <v>745</v>
      </c>
      <c r="F8" s="15">
        <v>0</v>
      </c>
      <c r="G8" s="16">
        <f>_xlfn.IFNA(INDEX(Calculations!$F$3:$F$159,MATCH(Summary_Table[[#This Row],[LEA ID]],Calculations!$A$3:$A$159,0)),0)</f>
        <v>2264812.2579118595</v>
      </c>
      <c r="I8" s="16"/>
      <c r="J8" s="17"/>
    </row>
    <row r="9" spans="1:10" x14ac:dyDescent="0.3">
      <c r="A9" s="13">
        <v>8</v>
      </c>
      <c r="B9" s="13" t="s">
        <v>268</v>
      </c>
      <c r="C9" s="14" t="s">
        <v>7</v>
      </c>
      <c r="D9" s="14" t="s">
        <v>261</v>
      </c>
      <c r="E9" s="14" t="s">
        <v>745</v>
      </c>
      <c r="F9" s="15">
        <v>0</v>
      </c>
      <c r="G9" s="16">
        <f>_xlfn.IFNA(INDEX(Calculations!$F$3:$F$159,MATCH(Summary_Table[[#This Row],[LEA ID]],Calculations!$A$3:$A$159,0)),0)</f>
        <v>268612.37660233281</v>
      </c>
      <c r="I9" s="16"/>
      <c r="J9" s="17"/>
    </row>
    <row r="10" spans="1:10" x14ac:dyDescent="0.3">
      <c r="A10" s="13">
        <v>9</v>
      </c>
      <c r="B10" s="13" t="s">
        <v>269</v>
      </c>
      <c r="C10" s="14" t="s">
        <v>8</v>
      </c>
      <c r="D10" s="14" t="s">
        <v>261</v>
      </c>
      <c r="E10" s="14" t="s">
        <v>745</v>
      </c>
      <c r="F10" s="15">
        <v>0</v>
      </c>
      <c r="G10" s="16">
        <f>_xlfn.IFNA(INDEX(Calculations!$F$3:$F$159,MATCH(Summary_Table[[#This Row],[LEA ID]],Calculations!$A$3:$A$159,0)),0)</f>
        <v>170201.48088338901</v>
      </c>
      <c r="I10" s="16"/>
      <c r="J10" s="17"/>
    </row>
    <row r="11" spans="1:10" x14ac:dyDescent="0.3">
      <c r="A11" s="13">
        <v>10</v>
      </c>
      <c r="B11" s="13" t="s">
        <v>456</v>
      </c>
      <c r="C11" s="14" t="s">
        <v>9</v>
      </c>
      <c r="D11" s="14" t="s">
        <v>261</v>
      </c>
      <c r="E11" s="14" t="s">
        <v>745</v>
      </c>
      <c r="F11" s="15">
        <v>0</v>
      </c>
      <c r="G11" s="16">
        <f>_xlfn.IFNA(INDEX(Calculations!$F$3:$F$159,MATCH(Summary_Table[[#This Row],[LEA ID]],Calculations!$A$3:$A$159,0)),0)</f>
        <v>156867.99718747244</v>
      </c>
      <c r="I11" s="16"/>
      <c r="J11" s="17"/>
    </row>
    <row r="12" spans="1:10" x14ac:dyDescent="0.3">
      <c r="A12" s="13">
        <v>11</v>
      </c>
      <c r="B12" s="13" t="s">
        <v>457</v>
      </c>
      <c r="C12" s="14" t="s">
        <v>10</v>
      </c>
      <c r="D12" s="14" t="s">
        <v>261</v>
      </c>
      <c r="E12" s="14" t="s">
        <v>745</v>
      </c>
      <c r="F12" s="15">
        <v>0</v>
      </c>
      <c r="G12" s="16">
        <f>_xlfn.IFNA(INDEX(Calculations!$F$3:$F$159,MATCH(Summary_Table[[#This Row],[LEA ID]],Calculations!$A$3:$A$159,0)),0)</f>
        <v>151455.0921090843</v>
      </c>
      <c r="I12" s="16"/>
      <c r="J12" s="17"/>
    </row>
    <row r="13" spans="1:10" x14ac:dyDescent="0.3">
      <c r="A13" s="13">
        <v>12</v>
      </c>
      <c r="B13" s="13" t="s">
        <v>458</v>
      </c>
      <c r="C13" s="14" t="s">
        <v>11</v>
      </c>
      <c r="D13" s="14" t="s">
        <v>261</v>
      </c>
      <c r="E13" s="14" t="s">
        <v>745</v>
      </c>
      <c r="F13" s="15">
        <v>0</v>
      </c>
      <c r="G13" s="16">
        <f>_xlfn.IFNA(INDEX(Calculations!$F$3:$F$159,MATCH(Summary_Table[[#This Row],[LEA ID]],Calculations!$A$3:$A$159,0)),0)</f>
        <v>1893248.4347343678</v>
      </c>
      <c r="I13" s="16"/>
      <c r="J13" s="17"/>
    </row>
    <row r="14" spans="1:10" x14ac:dyDescent="0.3">
      <c r="A14" s="13">
        <v>13</v>
      </c>
      <c r="B14" s="13" t="s">
        <v>459</v>
      </c>
      <c r="C14" s="14" t="s">
        <v>12</v>
      </c>
      <c r="D14" s="14" t="s">
        <v>261</v>
      </c>
      <c r="E14" s="14" t="s">
        <v>745</v>
      </c>
      <c r="F14" s="15">
        <v>0</v>
      </c>
      <c r="G14" s="16">
        <f>_xlfn.IFNA(INDEX(Calculations!$F$3:$F$159,MATCH(Summary_Table[[#This Row],[LEA ID]],Calculations!$A$3:$A$159,0)),0)</f>
        <v>538370.77036765381</v>
      </c>
      <c r="I14" s="16"/>
      <c r="J14" s="17"/>
    </row>
    <row r="15" spans="1:10" x14ac:dyDescent="0.3">
      <c r="A15" s="13">
        <v>14</v>
      </c>
      <c r="B15" s="13" t="s">
        <v>460</v>
      </c>
      <c r="C15" s="14" t="s">
        <v>13</v>
      </c>
      <c r="D15" s="14" t="s">
        <v>261</v>
      </c>
      <c r="E15" s="14" t="s">
        <v>745</v>
      </c>
      <c r="F15" s="15">
        <v>0</v>
      </c>
      <c r="G15" s="16">
        <f>_xlfn.IFNA(INDEX(Calculations!$F$3:$F$159,MATCH(Summary_Table[[#This Row],[LEA ID]],Calculations!$A$3:$A$159,0)),0)</f>
        <v>1895511.4571965188</v>
      </c>
      <c r="I15" s="16"/>
      <c r="J15" s="17"/>
    </row>
    <row r="16" spans="1:10" x14ac:dyDescent="0.3">
      <c r="A16" s="13">
        <v>15</v>
      </c>
      <c r="B16" s="13" t="s">
        <v>461</v>
      </c>
      <c r="C16" s="14" t="s">
        <v>14</v>
      </c>
      <c r="D16" s="14" t="s">
        <v>261</v>
      </c>
      <c r="E16" s="14" t="s">
        <v>745</v>
      </c>
      <c r="F16" s="15">
        <v>0</v>
      </c>
      <c r="G16" s="16">
        <f>_xlfn.IFNA(INDEX(Calculations!$F$3:$F$159,MATCH(Summary_Table[[#This Row],[LEA ID]],Calculations!$A$3:$A$159,0)),0)</f>
        <v>192709.37996640411</v>
      </c>
      <c r="I16" s="16"/>
      <c r="J16" s="17"/>
    </row>
    <row r="17" spans="1:10" x14ac:dyDescent="0.3">
      <c r="A17" s="13">
        <v>16</v>
      </c>
      <c r="B17" s="13" t="s">
        <v>462</v>
      </c>
      <c r="C17" s="14" t="s">
        <v>15</v>
      </c>
      <c r="D17" s="14" t="s">
        <v>261</v>
      </c>
      <c r="E17" s="14" t="s">
        <v>745</v>
      </c>
      <c r="F17" s="15">
        <v>0</v>
      </c>
      <c r="G17" s="16">
        <f>_xlfn.IFNA(INDEX(Calculations!$F$3:$F$159,MATCH(Summary_Table[[#This Row],[LEA ID]],Calculations!$A$3:$A$159,0)),0)</f>
        <v>152403.11503241782</v>
      </c>
      <c r="I17" s="16"/>
      <c r="J17" s="17"/>
    </row>
    <row r="18" spans="1:10" x14ac:dyDescent="0.3">
      <c r="A18" s="13">
        <v>17</v>
      </c>
      <c r="B18" s="13" t="s">
        <v>463</v>
      </c>
      <c r="C18" s="14" t="s">
        <v>16</v>
      </c>
      <c r="D18" s="14" t="s">
        <v>261</v>
      </c>
      <c r="E18" s="14" t="s">
        <v>745</v>
      </c>
      <c r="F18" s="15">
        <v>0</v>
      </c>
      <c r="G18" s="16">
        <f>_xlfn.IFNA(INDEX(Calculations!$F$3:$F$159,MATCH(Summary_Table[[#This Row],[LEA ID]],Calculations!$A$3:$A$159,0)),0)</f>
        <v>203626.93427705139</v>
      </c>
      <c r="I18" s="16"/>
      <c r="J18" s="17"/>
    </row>
    <row r="19" spans="1:10" x14ac:dyDescent="0.3">
      <c r="A19" s="13">
        <v>18</v>
      </c>
      <c r="B19" s="13" t="s">
        <v>464</v>
      </c>
      <c r="C19" s="14" t="s">
        <v>17</v>
      </c>
      <c r="D19" s="14" t="s">
        <v>261</v>
      </c>
      <c r="E19" s="14" t="s">
        <v>745</v>
      </c>
      <c r="F19" s="15">
        <v>0</v>
      </c>
      <c r="G19" s="16">
        <f>_xlfn.IFNA(INDEX(Calculations!$F$3:$F$159,MATCH(Summary_Table[[#This Row],[LEA ID]],Calculations!$A$3:$A$159,0)),0)</f>
        <v>204819.60827737421</v>
      </c>
      <c r="I19" s="16"/>
      <c r="J19" s="17"/>
    </row>
    <row r="20" spans="1:10" x14ac:dyDescent="0.3">
      <c r="A20" s="13">
        <v>19</v>
      </c>
      <c r="B20" s="13" t="s">
        <v>465</v>
      </c>
      <c r="C20" s="14" t="s">
        <v>18</v>
      </c>
      <c r="D20" s="14" t="s">
        <v>261</v>
      </c>
      <c r="E20" s="14" t="s">
        <v>745</v>
      </c>
      <c r="F20" s="15">
        <v>0</v>
      </c>
      <c r="G20" s="16">
        <f>_xlfn.IFNA(INDEX(Calculations!$F$3:$F$159,MATCH(Summary_Table[[#This Row],[LEA ID]],Calculations!$A$3:$A$159,0)),0)</f>
        <v>1447769.4049214858</v>
      </c>
      <c r="I20" s="16"/>
      <c r="J20" s="17"/>
    </row>
    <row r="21" spans="1:10" x14ac:dyDescent="0.3">
      <c r="A21" s="13">
        <v>20</v>
      </c>
      <c r="B21" s="13" t="s">
        <v>466</v>
      </c>
      <c r="C21" s="14" t="s">
        <v>19</v>
      </c>
      <c r="D21" s="14" t="s">
        <v>261</v>
      </c>
      <c r="E21" s="14" t="s">
        <v>745</v>
      </c>
      <c r="F21" s="15">
        <v>0</v>
      </c>
      <c r="G21" s="16">
        <f>_xlfn.IFNA(INDEX(Calculations!$F$3:$F$159,MATCH(Summary_Table[[#This Row],[LEA ID]],Calculations!$A$3:$A$159,0)),0)</f>
        <v>185828.56842608022</v>
      </c>
      <c r="I21" s="16"/>
      <c r="J21" s="17"/>
    </row>
    <row r="22" spans="1:10" x14ac:dyDescent="0.3">
      <c r="A22" s="13">
        <v>21</v>
      </c>
      <c r="B22" s="13" t="s">
        <v>467</v>
      </c>
      <c r="C22" s="14" t="s">
        <v>20</v>
      </c>
      <c r="D22" s="14" t="s">
        <v>261</v>
      </c>
      <c r="E22" s="14" t="s">
        <v>745</v>
      </c>
      <c r="F22" s="15">
        <v>0</v>
      </c>
      <c r="G22" s="16">
        <f>_xlfn.IFNA(INDEX(Calculations!$F$3:$F$159,MATCH(Summary_Table[[#This Row],[LEA ID]],Calculations!$A$3:$A$159,0)),0)</f>
        <v>140935.09579854464</v>
      </c>
      <c r="I22" s="16"/>
      <c r="J22" s="17"/>
    </row>
    <row r="23" spans="1:10" x14ac:dyDescent="0.3">
      <c r="A23" s="13">
        <v>22</v>
      </c>
      <c r="B23" s="13" t="s">
        <v>468</v>
      </c>
      <c r="C23" s="14" t="s">
        <v>21</v>
      </c>
      <c r="D23" s="14" t="s">
        <v>261</v>
      </c>
      <c r="E23" s="14" t="s">
        <v>745</v>
      </c>
      <c r="F23" s="15">
        <v>0</v>
      </c>
      <c r="G23" s="16">
        <f>_xlfn.IFNA(INDEX(Calculations!$F$3:$F$159,MATCH(Summary_Table[[#This Row],[LEA ID]],Calculations!$A$3:$A$159,0)),0)</f>
        <v>236440.75997824053</v>
      </c>
      <c r="I23" s="16"/>
      <c r="J23" s="17"/>
    </row>
    <row r="24" spans="1:10" x14ac:dyDescent="0.3">
      <c r="A24" s="13">
        <v>23</v>
      </c>
      <c r="B24" s="13" t="s">
        <v>469</v>
      </c>
      <c r="C24" s="14" t="s">
        <v>22</v>
      </c>
      <c r="D24" s="14" t="s">
        <v>261</v>
      </c>
      <c r="E24" s="14" t="s">
        <v>745</v>
      </c>
      <c r="F24" s="15">
        <v>0</v>
      </c>
      <c r="G24" s="16">
        <f>_xlfn.IFNA(INDEX(Calculations!$F$3:$F$159,MATCH(Summary_Table[[#This Row],[LEA ID]],Calculations!$A$3:$A$159,0)),0)</f>
        <v>122096.96287036894</v>
      </c>
      <c r="I24" s="16"/>
      <c r="J24" s="17"/>
    </row>
    <row r="25" spans="1:10" x14ac:dyDescent="0.3">
      <c r="A25" s="13">
        <v>24</v>
      </c>
      <c r="B25" s="13" t="s">
        <v>470</v>
      </c>
      <c r="C25" s="14" t="s">
        <v>23</v>
      </c>
      <c r="D25" s="14" t="s">
        <v>261</v>
      </c>
      <c r="E25" s="14" t="s">
        <v>745</v>
      </c>
      <c r="F25" s="15">
        <v>0</v>
      </c>
      <c r="G25" s="16">
        <f>_xlfn.IFNA(INDEX(Calculations!$F$3:$F$159,MATCH(Summary_Table[[#This Row],[LEA ID]],Calculations!$A$3:$A$159,0)),0)</f>
        <v>124298.8225632726</v>
      </c>
      <c r="I25" s="16"/>
      <c r="J25" s="17"/>
    </row>
    <row r="26" spans="1:10" x14ac:dyDescent="0.3">
      <c r="A26" s="13">
        <v>25</v>
      </c>
      <c r="B26" s="13" t="s">
        <v>471</v>
      </c>
      <c r="C26" s="14" t="s">
        <v>24</v>
      </c>
      <c r="D26" s="14" t="s">
        <v>261</v>
      </c>
      <c r="E26" s="14" t="s">
        <v>745</v>
      </c>
      <c r="F26" s="15">
        <v>0</v>
      </c>
      <c r="G26" s="16">
        <f>_xlfn.IFNA(INDEX(Calculations!$F$3:$F$159,MATCH(Summary_Table[[#This Row],[LEA ID]],Calculations!$A$3:$A$159,0)),0)</f>
        <v>194697.16996694214</v>
      </c>
      <c r="I26" s="16"/>
      <c r="J26" s="17"/>
    </row>
    <row r="27" spans="1:10" x14ac:dyDescent="0.3">
      <c r="A27" s="13">
        <v>26</v>
      </c>
      <c r="B27" s="13" t="s">
        <v>472</v>
      </c>
      <c r="C27" s="14" t="s">
        <v>25</v>
      </c>
      <c r="D27" s="14" t="s">
        <v>261</v>
      </c>
      <c r="E27" s="14" t="s">
        <v>745</v>
      </c>
      <c r="F27" s="15">
        <v>0</v>
      </c>
      <c r="G27" s="16">
        <f>_xlfn.IFNA(INDEX(Calculations!$F$3:$F$159,MATCH(Summary_Table[[#This Row],[LEA ID]],Calculations!$A$3:$A$159,0)),0)</f>
        <v>246318.54721168333</v>
      </c>
      <c r="I27" s="16"/>
      <c r="J27" s="17"/>
    </row>
    <row r="28" spans="1:10" x14ac:dyDescent="0.3">
      <c r="A28" s="13">
        <v>27</v>
      </c>
      <c r="B28" s="13" t="s">
        <v>473</v>
      </c>
      <c r="C28" s="14" t="s">
        <v>26</v>
      </c>
      <c r="D28" s="14" t="s">
        <v>261</v>
      </c>
      <c r="E28" s="14" t="s">
        <v>745</v>
      </c>
      <c r="F28" s="15">
        <v>0</v>
      </c>
      <c r="G28" s="16">
        <f>_xlfn.IFNA(INDEX(Calculations!$F$3:$F$159,MATCH(Summary_Table[[#This Row],[LEA ID]],Calculations!$A$3:$A$159,0)),0)</f>
        <v>206990.8865856542</v>
      </c>
      <c r="I28" s="16"/>
      <c r="J28" s="17"/>
    </row>
    <row r="29" spans="1:10" x14ac:dyDescent="0.3">
      <c r="A29" s="13">
        <v>28</v>
      </c>
      <c r="B29" s="13" t="s">
        <v>474</v>
      </c>
      <c r="C29" s="14" t="s">
        <v>27</v>
      </c>
      <c r="D29" s="14" t="s">
        <v>261</v>
      </c>
      <c r="E29" s="14" t="s">
        <v>745</v>
      </c>
      <c r="F29" s="15">
        <v>0</v>
      </c>
      <c r="G29" s="16">
        <f>_xlfn.IFNA(INDEX(Calculations!$F$3:$F$159,MATCH(Summary_Table[[#This Row],[LEA ID]],Calculations!$A$3:$A$159,0)),0)</f>
        <v>157357.29934145103</v>
      </c>
      <c r="I29" s="16"/>
      <c r="J29" s="17"/>
    </row>
    <row r="30" spans="1:10" x14ac:dyDescent="0.3">
      <c r="A30" s="13">
        <v>29</v>
      </c>
      <c r="B30" s="13" t="s">
        <v>475</v>
      </c>
      <c r="C30" s="14" t="s">
        <v>28</v>
      </c>
      <c r="D30" s="14" t="s">
        <v>261</v>
      </c>
      <c r="E30" s="14" t="s">
        <v>745</v>
      </c>
      <c r="F30" s="15">
        <v>0</v>
      </c>
      <c r="G30" s="16">
        <f>_xlfn.IFNA(INDEX(Calculations!$F$3:$F$159,MATCH(Summary_Table[[#This Row],[LEA ID]],Calculations!$A$3:$A$159,0)),0)</f>
        <v>116928.70886897009</v>
      </c>
      <c r="I30" s="16"/>
      <c r="J30" s="17"/>
    </row>
    <row r="31" spans="1:10" x14ac:dyDescent="0.3">
      <c r="A31" s="13">
        <v>30</v>
      </c>
      <c r="B31" s="13" t="s">
        <v>478</v>
      </c>
      <c r="C31" s="14" t="s">
        <v>29</v>
      </c>
      <c r="D31" s="14" t="s">
        <v>261</v>
      </c>
      <c r="E31" s="14" t="s">
        <v>745</v>
      </c>
      <c r="F31" s="15">
        <v>0</v>
      </c>
      <c r="G31" s="16">
        <f>_xlfn.IFNA(INDEX(Calculations!$F$3:$F$159,MATCH(Summary_Table[[#This Row],[LEA ID]],Calculations!$A$3:$A$159,0)),0)</f>
        <v>595435.63407540682</v>
      </c>
      <c r="I31" s="16"/>
      <c r="J31" s="17"/>
    </row>
    <row r="32" spans="1:10" x14ac:dyDescent="0.3">
      <c r="A32" s="13">
        <v>31</v>
      </c>
      <c r="B32" s="13" t="s">
        <v>476</v>
      </c>
      <c r="C32" s="14" t="s">
        <v>30</v>
      </c>
      <c r="D32" s="14" t="s">
        <v>261</v>
      </c>
      <c r="E32" s="14" t="s">
        <v>745</v>
      </c>
      <c r="F32" s="15">
        <v>0</v>
      </c>
      <c r="G32" s="16">
        <f>_xlfn.IFNA(INDEX(Calculations!$F$3:$F$159,MATCH(Summary_Table[[#This Row],[LEA ID]],Calculations!$A$3:$A$159,0)),0)</f>
        <v>312037.9427679326</v>
      </c>
      <c r="I32" s="16"/>
      <c r="J32" s="17"/>
    </row>
    <row r="33" spans="1:10" x14ac:dyDescent="0.3">
      <c r="A33" s="13">
        <v>32</v>
      </c>
      <c r="B33" s="13" t="s">
        <v>477</v>
      </c>
      <c r="C33" s="14" t="s">
        <v>31</v>
      </c>
      <c r="D33" s="14" t="s">
        <v>261</v>
      </c>
      <c r="E33" s="14" t="s">
        <v>745</v>
      </c>
      <c r="F33" s="15">
        <v>0</v>
      </c>
      <c r="G33" s="16">
        <f>_xlfn.IFNA(INDEX(Calculations!$F$3:$F$159,MATCH(Summary_Table[[#This Row],[LEA ID]],Calculations!$A$3:$A$159,0)),0)</f>
        <v>370295.48047600838</v>
      </c>
      <c r="I33" s="16"/>
      <c r="J33" s="17"/>
    </row>
    <row r="34" spans="1:10" x14ac:dyDescent="0.3">
      <c r="A34" s="13">
        <v>33</v>
      </c>
      <c r="B34" s="13" t="s">
        <v>479</v>
      </c>
      <c r="C34" s="14" t="s">
        <v>32</v>
      </c>
      <c r="D34" s="14" t="s">
        <v>261</v>
      </c>
      <c r="E34" s="14" t="s">
        <v>745</v>
      </c>
      <c r="F34" s="15">
        <v>0</v>
      </c>
      <c r="G34" s="16">
        <f>_xlfn.IFNA(INDEX(Calculations!$F$3:$F$159,MATCH(Summary_Table[[#This Row],[LEA ID]],Calculations!$A$3:$A$159,0)),0)</f>
        <v>1224188.9019378943</v>
      </c>
      <c r="I34" s="16"/>
      <c r="J34" s="17"/>
    </row>
    <row r="35" spans="1:10" x14ac:dyDescent="0.3">
      <c r="A35" s="13">
        <v>34</v>
      </c>
      <c r="B35" s="13" t="s">
        <v>480</v>
      </c>
      <c r="C35" s="14" t="s">
        <v>33</v>
      </c>
      <c r="D35" s="14" t="s">
        <v>261</v>
      </c>
      <c r="E35" s="14" t="s">
        <v>745</v>
      </c>
      <c r="F35" s="15">
        <v>0</v>
      </c>
      <c r="G35" s="16">
        <f>_xlfn.IFNA(INDEX(Calculations!$F$3:$F$159,MATCH(Summary_Table[[#This Row],[LEA ID]],Calculations!$A$3:$A$159,0)),0)</f>
        <v>121760.56763950866</v>
      </c>
      <c r="I35" s="16"/>
      <c r="J35" s="17"/>
    </row>
    <row r="36" spans="1:10" x14ac:dyDescent="0.3">
      <c r="A36" s="13">
        <v>35</v>
      </c>
      <c r="B36" s="13" t="s">
        <v>481</v>
      </c>
      <c r="C36" s="14" t="s">
        <v>34</v>
      </c>
      <c r="D36" s="14" t="s">
        <v>261</v>
      </c>
      <c r="E36" s="14" t="s">
        <v>745</v>
      </c>
      <c r="F36" s="15">
        <v>0</v>
      </c>
      <c r="G36" s="16">
        <f>_xlfn.IFNA(INDEX(Calculations!$F$3:$F$159,MATCH(Summary_Table[[#This Row],[LEA ID]],Calculations!$A$3:$A$159,0)),0)</f>
        <v>1094248.5986719551</v>
      </c>
      <c r="I36" s="16"/>
      <c r="J36" s="17"/>
    </row>
    <row r="37" spans="1:10" x14ac:dyDescent="0.3">
      <c r="A37" s="13">
        <v>36</v>
      </c>
      <c r="B37" s="13" t="s">
        <v>482</v>
      </c>
      <c r="C37" s="14" t="s">
        <v>35</v>
      </c>
      <c r="D37" s="14" t="s">
        <v>261</v>
      </c>
      <c r="E37" s="14" t="s">
        <v>745</v>
      </c>
      <c r="F37" s="15">
        <v>0</v>
      </c>
      <c r="G37" s="16">
        <f>_xlfn.IFNA(INDEX(Calculations!$F$3:$F$159,MATCH(Summary_Table[[#This Row],[LEA ID]],Calculations!$A$3:$A$159,0)),0)</f>
        <v>693448.97179424297</v>
      </c>
      <c r="I37" s="16"/>
      <c r="J37" s="17"/>
    </row>
    <row r="38" spans="1:10" x14ac:dyDescent="0.3">
      <c r="A38" s="13">
        <v>37</v>
      </c>
      <c r="B38" s="13" t="s">
        <v>483</v>
      </c>
      <c r="C38" s="14" t="s">
        <v>36</v>
      </c>
      <c r="D38" s="14" t="s">
        <v>261</v>
      </c>
      <c r="E38" s="14" t="s">
        <v>745</v>
      </c>
      <c r="F38" s="15">
        <v>0</v>
      </c>
      <c r="G38" s="16">
        <f>_xlfn.IFNA(INDEX(Calculations!$F$3:$F$159,MATCH(Summary_Table[[#This Row],[LEA ID]],Calculations!$A$3:$A$159,0)),0)</f>
        <v>425403.13556784706</v>
      </c>
      <c r="I38" s="16"/>
      <c r="J38" s="17"/>
    </row>
    <row r="39" spans="1:10" x14ac:dyDescent="0.3">
      <c r="A39" s="13">
        <v>38</v>
      </c>
      <c r="B39" s="13" t="s">
        <v>484</v>
      </c>
      <c r="C39" s="14" t="s">
        <v>37</v>
      </c>
      <c r="D39" s="14" t="s">
        <v>261</v>
      </c>
      <c r="E39" s="14" t="s">
        <v>745</v>
      </c>
      <c r="F39" s="15">
        <v>0</v>
      </c>
      <c r="G39" s="16">
        <f>_xlfn.IFNA(INDEX(Calculations!$F$3:$F$159,MATCH(Summary_Table[[#This Row],[LEA ID]],Calculations!$A$3:$A$159,0)),0)</f>
        <v>529196.35498055536</v>
      </c>
      <c r="I39" s="16"/>
      <c r="J39" s="17"/>
    </row>
    <row r="40" spans="1:10" x14ac:dyDescent="0.3">
      <c r="A40" s="13">
        <v>39</v>
      </c>
      <c r="B40" s="13" t="s">
        <v>485</v>
      </c>
      <c r="C40" s="14" t="s">
        <v>38</v>
      </c>
      <c r="D40" s="14" t="s">
        <v>261</v>
      </c>
      <c r="E40" s="14" t="s">
        <v>745</v>
      </c>
      <c r="F40" s="15">
        <v>0</v>
      </c>
      <c r="G40" s="16">
        <f>_xlfn.IFNA(INDEX(Calculations!$F$3:$F$159,MATCH(Summary_Table[[#This Row],[LEA ID]],Calculations!$A$3:$A$159,0)),0)</f>
        <v>266594.00521717116</v>
      </c>
      <c r="I40" s="16"/>
      <c r="J40" s="17"/>
    </row>
    <row r="41" spans="1:10" x14ac:dyDescent="0.3">
      <c r="A41" s="13">
        <v>40</v>
      </c>
      <c r="B41" s="13" t="s">
        <v>486</v>
      </c>
      <c r="C41" s="14" t="s">
        <v>39</v>
      </c>
      <c r="D41" s="14" t="s">
        <v>261</v>
      </c>
      <c r="E41" s="14" t="s">
        <v>745</v>
      </c>
      <c r="F41" s="15">
        <v>0</v>
      </c>
      <c r="G41" s="16">
        <f>_xlfn.IFNA(INDEX(Calculations!$F$3:$F$159,MATCH(Summary_Table[[#This Row],[LEA ID]],Calculations!$A$3:$A$159,0)),0)</f>
        <v>280416.79106706625</v>
      </c>
      <c r="I41" s="16"/>
      <c r="J41" s="17"/>
    </row>
    <row r="42" spans="1:10" x14ac:dyDescent="0.3">
      <c r="A42" s="13">
        <v>42</v>
      </c>
      <c r="B42" s="13" t="s">
        <v>487</v>
      </c>
      <c r="C42" s="14" t="s">
        <v>40</v>
      </c>
      <c r="D42" s="14" t="s">
        <v>261</v>
      </c>
      <c r="E42" s="14" t="s">
        <v>745</v>
      </c>
      <c r="F42" s="15">
        <v>0</v>
      </c>
      <c r="G42" s="16">
        <f>_xlfn.IFNA(INDEX(Calculations!$F$3:$F$159,MATCH(Summary_Table[[#This Row],[LEA ID]],Calculations!$A$3:$A$159,0)),0)</f>
        <v>1114524.056677443</v>
      </c>
      <c r="I42" s="16"/>
      <c r="J42" s="17"/>
    </row>
    <row r="43" spans="1:10" x14ac:dyDescent="0.3">
      <c r="A43" s="13">
        <v>68</v>
      </c>
      <c r="B43" s="13" t="s">
        <v>270</v>
      </c>
      <c r="C43" s="14" t="s">
        <v>271</v>
      </c>
      <c r="D43" s="14" t="s">
        <v>272</v>
      </c>
      <c r="E43" s="14" t="s">
        <v>745</v>
      </c>
      <c r="F43" s="15">
        <v>0</v>
      </c>
      <c r="G43" s="16">
        <f>_xlfn.IFNA(INDEX(Calculations!$F$3:$F$159,MATCH(Summary_Table[[#This Row],[LEA ID]],Calculations!$A$3:$A$159,0)),0)</f>
        <v>36551.930520352063</v>
      </c>
      <c r="I43" s="16"/>
      <c r="J43" s="17"/>
    </row>
    <row r="44" spans="1:10" x14ac:dyDescent="0.3">
      <c r="A44" s="13">
        <v>74</v>
      </c>
      <c r="B44" s="13" t="s">
        <v>273</v>
      </c>
      <c r="C44" s="14" t="s">
        <v>274</v>
      </c>
      <c r="D44" s="14" t="s">
        <v>272</v>
      </c>
      <c r="E44" s="14" t="s">
        <v>745</v>
      </c>
      <c r="F44" s="15">
        <v>0</v>
      </c>
      <c r="G44" s="16">
        <f>_xlfn.IFNA(INDEX(Calculations!$F$3:$F$159,MATCH(Summary_Table[[#This Row],[LEA ID]],Calculations!$A$3:$A$159,0)),0)</f>
        <v>171079.44147984046</v>
      </c>
      <c r="I44" s="16"/>
      <c r="J44" s="17"/>
    </row>
    <row r="45" spans="1:10" x14ac:dyDescent="0.3">
      <c r="A45" s="13">
        <v>81</v>
      </c>
      <c r="B45" s="13" t="s">
        <v>275</v>
      </c>
      <c r="C45" s="14" t="s">
        <v>276</v>
      </c>
      <c r="D45" s="14" t="s">
        <v>272</v>
      </c>
      <c r="E45" s="14" t="s">
        <v>745</v>
      </c>
      <c r="F45" s="15">
        <v>0</v>
      </c>
      <c r="G45" s="16">
        <f>_xlfn.IFNA(INDEX(Calculations!$F$3:$F$159,MATCH(Summary_Table[[#This Row],[LEA ID]],Calculations!$A$3:$A$159,0)),0)</f>
        <v>17530.309284434399</v>
      </c>
      <c r="I45" s="16"/>
      <c r="J45" s="17"/>
    </row>
    <row r="46" spans="1:10" x14ac:dyDescent="0.3">
      <c r="A46" s="13">
        <v>82</v>
      </c>
      <c r="B46" s="13" t="s">
        <v>277</v>
      </c>
      <c r="C46" s="14" t="s">
        <v>278</v>
      </c>
      <c r="D46" s="14" t="s">
        <v>272</v>
      </c>
      <c r="E46" s="14" t="s">
        <v>745</v>
      </c>
      <c r="F46" s="15">
        <v>0</v>
      </c>
      <c r="G46" s="16">
        <f>_xlfn.IFNA(INDEX(Calculations!$F$3:$F$159,MATCH(Summary_Table[[#This Row],[LEA ID]],Calculations!$A$3:$A$159,0)),0)</f>
        <v>71659.360068315844</v>
      </c>
      <c r="I46" s="16"/>
      <c r="J46" s="17"/>
    </row>
    <row r="47" spans="1:10" x14ac:dyDescent="0.3">
      <c r="A47" s="13">
        <v>83</v>
      </c>
      <c r="B47" s="13" t="s">
        <v>279</v>
      </c>
      <c r="C47" s="14" t="s">
        <v>280</v>
      </c>
      <c r="D47" s="14" t="s">
        <v>272</v>
      </c>
      <c r="E47" s="14" t="s">
        <v>745</v>
      </c>
      <c r="F47" s="15">
        <v>0</v>
      </c>
      <c r="G47" s="16">
        <f>_xlfn.IFNA(INDEX(Calculations!$F$3:$F$159,MATCH(Summary_Table[[#This Row],[LEA ID]],Calculations!$A$3:$A$159,0)),0)</f>
        <v>19609.843438843403</v>
      </c>
      <c r="I47" s="16"/>
      <c r="J47" s="17"/>
    </row>
    <row r="48" spans="1:10" x14ac:dyDescent="0.3">
      <c r="A48" s="13">
        <v>86</v>
      </c>
      <c r="B48" s="13" t="s">
        <v>281</v>
      </c>
      <c r="C48" s="14" t="s">
        <v>282</v>
      </c>
      <c r="D48" s="14" t="s">
        <v>272</v>
      </c>
      <c r="E48" s="14" t="s">
        <v>745</v>
      </c>
      <c r="F48" s="15">
        <v>0</v>
      </c>
      <c r="G48" s="16">
        <f>_xlfn.IFNA(INDEX(Calculations!$F$3:$F$159,MATCH(Summary_Table[[#This Row],[LEA ID]],Calculations!$A$3:$A$159,0)),0)</f>
        <v>17316.239592068767</v>
      </c>
      <c r="I48" s="16"/>
      <c r="J48" s="17"/>
    </row>
    <row r="49" spans="1:10" x14ac:dyDescent="0.3">
      <c r="A49" s="13">
        <v>87</v>
      </c>
      <c r="B49" s="13" t="s">
        <v>283</v>
      </c>
      <c r="C49" s="14" t="s">
        <v>48</v>
      </c>
      <c r="D49" s="14" t="s">
        <v>272</v>
      </c>
      <c r="E49" s="14" t="s">
        <v>745</v>
      </c>
      <c r="F49" s="15">
        <v>0</v>
      </c>
      <c r="G49" s="16">
        <f>_xlfn.IFNA(INDEX(Calculations!$F$3:$F$159,MATCH(Summary_Table[[#This Row],[LEA ID]],Calculations!$A$3:$A$159,0)),0)</f>
        <v>8417.056666583172</v>
      </c>
      <c r="I49" s="16"/>
      <c r="J49" s="17"/>
    </row>
    <row r="50" spans="1:10" x14ac:dyDescent="0.3">
      <c r="A50" s="13">
        <v>89</v>
      </c>
      <c r="B50" s="13" t="s">
        <v>284</v>
      </c>
      <c r="C50" s="14" t="s">
        <v>285</v>
      </c>
      <c r="D50" s="14" t="s">
        <v>272</v>
      </c>
      <c r="E50" s="14" t="s">
        <v>745</v>
      </c>
      <c r="F50" s="15">
        <v>0</v>
      </c>
      <c r="G50" s="16">
        <f>_xlfn.IFNA(INDEX(Calculations!$F$3:$F$159,MATCH(Summary_Table[[#This Row],[LEA ID]],Calculations!$A$3:$A$159,0)),0)</f>
        <v>15664.844822391027</v>
      </c>
      <c r="I50" s="16"/>
      <c r="J50" s="17"/>
    </row>
    <row r="51" spans="1:10" x14ac:dyDescent="0.3">
      <c r="A51" s="13">
        <v>91</v>
      </c>
      <c r="B51" s="13" t="s">
        <v>286</v>
      </c>
      <c r="C51" s="14" t="s">
        <v>252</v>
      </c>
      <c r="D51" s="14" t="s">
        <v>272</v>
      </c>
      <c r="E51" s="14" t="s">
        <v>745</v>
      </c>
      <c r="F51" s="15">
        <v>0</v>
      </c>
      <c r="G51" s="16">
        <f>_xlfn.IFNA(INDEX(Calculations!$F$3:$F$159,MATCH(Summary_Table[[#This Row],[LEA ID]],Calculations!$A$3:$A$159,0)),0)</f>
        <v>15083.79851454145</v>
      </c>
      <c r="I51" s="16"/>
      <c r="J51" s="17"/>
    </row>
    <row r="52" spans="1:10" x14ac:dyDescent="0.3">
      <c r="A52" s="13">
        <v>92</v>
      </c>
      <c r="B52" s="13" t="s">
        <v>287</v>
      </c>
      <c r="C52" s="14" t="s">
        <v>288</v>
      </c>
      <c r="D52" s="14" t="s">
        <v>272</v>
      </c>
      <c r="E52" s="14" t="s">
        <v>745</v>
      </c>
      <c r="F52" s="15">
        <v>0</v>
      </c>
      <c r="G52" s="16">
        <f>_xlfn.IFNA(INDEX(Calculations!$F$3:$F$159,MATCH(Summary_Table[[#This Row],[LEA ID]],Calculations!$A$3:$A$159,0)),0)</f>
        <v>8080.6614357228909</v>
      </c>
      <c r="I52" s="16"/>
      <c r="J52" s="17"/>
    </row>
    <row r="53" spans="1:10" x14ac:dyDescent="0.3">
      <c r="A53" s="13">
        <v>93</v>
      </c>
      <c r="B53" s="13" t="s">
        <v>289</v>
      </c>
      <c r="C53" s="14" t="s">
        <v>290</v>
      </c>
      <c r="D53" s="14" t="s">
        <v>272</v>
      </c>
      <c r="E53" s="14" t="s">
        <v>745</v>
      </c>
      <c r="F53" s="15">
        <v>0</v>
      </c>
      <c r="G53" s="16">
        <f>_xlfn.IFNA(INDEX(Calculations!$F$3:$F$159,MATCH(Summary_Table[[#This Row],[LEA ID]],Calculations!$A$3:$A$159,0)),0)</f>
        <v>37775.185905298531</v>
      </c>
      <c r="I53" s="16"/>
      <c r="J53" s="17"/>
    </row>
    <row r="54" spans="1:10" x14ac:dyDescent="0.3">
      <c r="A54" s="13">
        <v>94</v>
      </c>
      <c r="B54" s="13" t="s">
        <v>291</v>
      </c>
      <c r="C54" s="14" t="s">
        <v>292</v>
      </c>
      <c r="D54" s="14" t="s">
        <v>272</v>
      </c>
      <c r="E54" s="14" t="s">
        <v>745</v>
      </c>
      <c r="F54" s="15">
        <v>0</v>
      </c>
      <c r="G54" s="16">
        <f>_xlfn.IFNA(INDEX(Calculations!$F$3:$F$159,MATCH(Summary_Table[[#This Row],[LEA ID]],Calculations!$A$3:$A$159,0)),0)</f>
        <v>42025.998367987529</v>
      </c>
      <c r="I54" s="16"/>
      <c r="J54" s="17"/>
    </row>
    <row r="55" spans="1:10" x14ac:dyDescent="0.3">
      <c r="A55" s="13">
        <v>95</v>
      </c>
      <c r="B55" s="13" t="s">
        <v>293</v>
      </c>
      <c r="C55" s="14" t="s">
        <v>53</v>
      </c>
      <c r="D55" s="14" t="s">
        <v>272</v>
      </c>
      <c r="E55" s="14" t="s">
        <v>745</v>
      </c>
      <c r="F55" s="15">
        <v>0</v>
      </c>
      <c r="G55" s="16">
        <f>_xlfn.IFNA(INDEX(Calculations!$F$3:$F$159,MATCH(Summary_Table[[#This Row],[LEA ID]],Calculations!$A$3:$A$159,0)),0)</f>
        <v>20710.773285295229</v>
      </c>
      <c r="I55" s="16"/>
      <c r="J55" s="17"/>
    </row>
    <row r="56" spans="1:10" x14ac:dyDescent="0.3">
      <c r="A56" s="13">
        <v>97</v>
      </c>
      <c r="B56" s="13" t="s">
        <v>294</v>
      </c>
      <c r="C56" s="14" t="s">
        <v>295</v>
      </c>
      <c r="D56" s="14" t="s">
        <v>272</v>
      </c>
      <c r="E56" s="14" t="s">
        <v>745</v>
      </c>
      <c r="F56" s="15">
        <v>0</v>
      </c>
      <c r="G56" s="16">
        <f>_xlfn.IFNA(INDEX(Calculations!$F$3:$F$159,MATCH(Summary_Table[[#This Row],[LEA ID]],Calculations!$A$3:$A$159,0)),0)</f>
        <v>18264.262515402283</v>
      </c>
      <c r="I56" s="16"/>
      <c r="J56" s="17"/>
    </row>
    <row r="57" spans="1:10" x14ac:dyDescent="0.3">
      <c r="A57" s="13">
        <v>98</v>
      </c>
      <c r="B57" s="13" t="s">
        <v>296</v>
      </c>
      <c r="C57" s="14" t="s">
        <v>297</v>
      </c>
      <c r="D57" s="14" t="s">
        <v>272</v>
      </c>
      <c r="E57" s="14" t="s">
        <v>745</v>
      </c>
      <c r="F57" s="15">
        <v>0</v>
      </c>
      <c r="G57" s="16">
        <f>_xlfn.IFNA(INDEX(Calculations!$F$3:$F$159,MATCH(Summary_Table[[#This Row],[LEA ID]],Calculations!$A$3:$A$159,0)),0)</f>
        <v>19089.959900241152</v>
      </c>
      <c r="I57" s="16"/>
      <c r="J57" s="17"/>
    </row>
    <row r="58" spans="1:10" x14ac:dyDescent="0.3">
      <c r="A58" s="13" t="s">
        <v>56</v>
      </c>
      <c r="B58" s="13" t="s">
        <v>298</v>
      </c>
      <c r="C58" s="14" t="s">
        <v>57</v>
      </c>
      <c r="D58" s="14" t="s">
        <v>272</v>
      </c>
      <c r="E58" s="14" t="s">
        <v>745</v>
      </c>
      <c r="F58" s="15">
        <v>0</v>
      </c>
      <c r="G58" s="16">
        <f>_xlfn.IFNA(INDEX(Calculations!$F$3:$F$159,MATCH(Summary_Table[[#This Row],[LEA ID]],Calculations!$A$3:$A$159,0)),0)</f>
        <v>40191.115290567817</v>
      </c>
      <c r="I58" s="16"/>
      <c r="J58" s="17"/>
    </row>
    <row r="59" spans="1:10" x14ac:dyDescent="0.3">
      <c r="A59" s="13" t="s">
        <v>58</v>
      </c>
      <c r="B59" s="13" t="s">
        <v>299</v>
      </c>
      <c r="C59" s="14" t="s">
        <v>300</v>
      </c>
      <c r="D59" s="14" t="s">
        <v>272</v>
      </c>
      <c r="E59" s="14" t="s">
        <v>745</v>
      </c>
      <c r="F59" s="15">
        <v>0</v>
      </c>
      <c r="G59" s="16">
        <f>_xlfn.IFNA(INDEX(Calculations!$F$3:$F$159,MATCH(Summary_Table[[#This Row],[LEA ID]],Calculations!$A$3:$A$159,0)),0)</f>
        <v>16674.030514971866</v>
      </c>
      <c r="I59" s="16"/>
      <c r="J59" s="17"/>
    </row>
    <row r="60" spans="1:10" x14ac:dyDescent="0.3">
      <c r="A60" s="13" t="s">
        <v>60</v>
      </c>
      <c r="B60" s="13" t="s">
        <v>301</v>
      </c>
      <c r="C60" s="14" t="s">
        <v>302</v>
      </c>
      <c r="D60" s="14" t="s">
        <v>272</v>
      </c>
      <c r="E60" s="14" t="s">
        <v>745</v>
      </c>
      <c r="F60" s="15">
        <v>0</v>
      </c>
      <c r="G60" s="16">
        <f>_xlfn.IFNA(INDEX(Calculations!$F$3:$F$159,MATCH(Summary_Table[[#This Row],[LEA ID]],Calculations!$A$3:$A$159,0)),0)</f>
        <v>44686.578830246108</v>
      </c>
      <c r="I60" s="16"/>
      <c r="J60" s="17"/>
    </row>
    <row r="61" spans="1:10" x14ac:dyDescent="0.3">
      <c r="A61" s="13" t="s">
        <v>62</v>
      </c>
      <c r="B61" s="13" t="s">
        <v>303</v>
      </c>
      <c r="C61" s="14" t="s">
        <v>63</v>
      </c>
      <c r="D61" s="14" t="s">
        <v>272</v>
      </c>
      <c r="E61" s="14" t="s">
        <v>745</v>
      </c>
      <c r="F61" s="15">
        <v>0</v>
      </c>
      <c r="G61" s="16">
        <f>_xlfn.IFNA(INDEX(Calculations!$F$3:$F$159,MATCH(Summary_Table[[#This Row],[LEA ID]],Calculations!$A$3:$A$159,0)),0)</f>
        <v>84687.029917995795</v>
      </c>
      <c r="I61" s="16"/>
      <c r="J61" s="17"/>
    </row>
    <row r="62" spans="1:10" x14ac:dyDescent="0.3">
      <c r="A62" s="13" t="s">
        <v>64</v>
      </c>
      <c r="B62" s="13" t="s">
        <v>304</v>
      </c>
      <c r="C62" s="14" t="s">
        <v>305</v>
      </c>
      <c r="D62" s="14" t="s">
        <v>272</v>
      </c>
      <c r="E62" s="14" t="s">
        <v>745</v>
      </c>
      <c r="F62" s="15">
        <v>0</v>
      </c>
      <c r="G62" s="16">
        <f>_xlfn.IFNA(INDEX(Calculations!$F$3:$F$159,MATCH(Summary_Table[[#This Row],[LEA ID]],Calculations!$A$3:$A$159,0)),0)</f>
        <v>16765.774668842852</v>
      </c>
      <c r="I62" s="16"/>
      <c r="J62" s="17"/>
    </row>
    <row r="63" spans="1:10" x14ac:dyDescent="0.3">
      <c r="A63" s="13" t="s">
        <v>66</v>
      </c>
      <c r="B63" s="13" t="s">
        <v>306</v>
      </c>
      <c r="C63" s="14" t="s">
        <v>307</v>
      </c>
      <c r="D63" s="14" t="s">
        <v>272</v>
      </c>
      <c r="E63" s="14" t="s">
        <v>745</v>
      </c>
      <c r="F63" s="15">
        <v>0</v>
      </c>
      <c r="G63" s="16">
        <f>_xlfn.IFNA(INDEX(Calculations!$F$3:$F$159,MATCH(Summary_Table[[#This Row],[LEA ID]],Calculations!$A$3:$A$159,0)),0)</f>
        <v>35236.930981534599</v>
      </c>
      <c r="I63" s="16"/>
      <c r="J63" s="17"/>
    </row>
    <row r="64" spans="1:10" x14ac:dyDescent="0.3">
      <c r="A64" s="13" t="s">
        <v>68</v>
      </c>
      <c r="B64" s="13" t="s">
        <v>308</v>
      </c>
      <c r="C64" s="14" t="s">
        <v>309</v>
      </c>
      <c r="D64" s="14" t="s">
        <v>272</v>
      </c>
      <c r="E64" s="14" t="s">
        <v>745</v>
      </c>
      <c r="F64" s="15">
        <v>0</v>
      </c>
      <c r="G64" s="16">
        <f>_xlfn.IFNA(INDEX(Calculations!$F$3:$F$159,MATCH(Summary_Table[[#This Row],[LEA ID]],Calculations!$A$3:$A$159,0)),0)</f>
        <v>7744.2662048626107</v>
      </c>
      <c r="I64" s="16"/>
      <c r="J64" s="17"/>
    </row>
    <row r="65" spans="1:10" x14ac:dyDescent="0.3">
      <c r="A65" s="13" t="s">
        <v>70</v>
      </c>
      <c r="B65" s="13" t="s">
        <v>310</v>
      </c>
      <c r="C65" s="14" t="s">
        <v>311</v>
      </c>
      <c r="D65" s="14" t="s">
        <v>272</v>
      </c>
      <c r="E65" s="14" t="s">
        <v>745</v>
      </c>
      <c r="F65" s="15">
        <v>0</v>
      </c>
      <c r="G65" s="16">
        <f>_xlfn.IFNA(INDEX(Calculations!$F$3:$F$159,MATCH(Summary_Table[[#This Row],[LEA ID]],Calculations!$A$3:$A$159,0)),0)</f>
        <v>15573.100668520041</v>
      </c>
      <c r="I65" s="16"/>
      <c r="J65" s="17"/>
    </row>
    <row r="66" spans="1:10" x14ac:dyDescent="0.3">
      <c r="A66" s="13" t="s">
        <v>72</v>
      </c>
      <c r="B66" s="13" t="s">
        <v>312</v>
      </c>
      <c r="C66" s="14" t="s">
        <v>73</v>
      </c>
      <c r="D66" s="14" t="s">
        <v>272</v>
      </c>
      <c r="E66" s="14" t="s">
        <v>745</v>
      </c>
      <c r="F66" s="15">
        <v>0</v>
      </c>
      <c r="G66" s="16">
        <f>_xlfn.IFNA(INDEX(Calculations!$F$3:$F$159,MATCH(Summary_Table[[#This Row],[LEA ID]],Calculations!$A$3:$A$159,0)),0)</f>
        <v>22025.77282411269</v>
      </c>
      <c r="I66" s="16"/>
      <c r="J66" s="17"/>
    </row>
    <row r="67" spans="1:10" x14ac:dyDescent="0.3">
      <c r="A67" s="13" t="s">
        <v>74</v>
      </c>
      <c r="B67" s="13" t="s">
        <v>313</v>
      </c>
      <c r="C67" s="14" t="s">
        <v>314</v>
      </c>
      <c r="D67" s="14" t="s">
        <v>272</v>
      </c>
      <c r="E67" s="14" t="s">
        <v>745</v>
      </c>
      <c r="F67" s="15">
        <v>0</v>
      </c>
      <c r="G67" s="16">
        <f>_xlfn.IFNA(INDEX(Calculations!$F$3:$F$159,MATCH(Summary_Table[[#This Row],[LEA ID]],Calculations!$A$3:$A$159,0)),0)</f>
        <v>21138.912670026493</v>
      </c>
      <c r="I67" s="16"/>
      <c r="J67" s="17"/>
    </row>
    <row r="68" spans="1:10" x14ac:dyDescent="0.3">
      <c r="A68" s="13" t="s">
        <v>76</v>
      </c>
      <c r="B68" s="13" t="s">
        <v>315</v>
      </c>
      <c r="C68" s="14" t="s">
        <v>77</v>
      </c>
      <c r="D68" s="14" t="s">
        <v>272</v>
      </c>
      <c r="E68" s="14" t="s">
        <v>745</v>
      </c>
      <c r="F68" s="15">
        <v>0</v>
      </c>
      <c r="G68" s="16">
        <f>_xlfn.IFNA(INDEX(Calculations!$F$3:$F$159,MATCH(Summary_Table[[#This Row],[LEA ID]],Calculations!$A$3:$A$159,0)),0)</f>
        <v>33585.536211856859</v>
      </c>
      <c r="I68" s="16"/>
      <c r="J68" s="17"/>
    </row>
    <row r="69" spans="1:10" x14ac:dyDescent="0.3">
      <c r="A69" s="13" t="s">
        <v>78</v>
      </c>
      <c r="B69" s="13" t="s">
        <v>316</v>
      </c>
      <c r="C69" s="14" t="s">
        <v>317</v>
      </c>
      <c r="D69" s="14" t="s">
        <v>272</v>
      </c>
      <c r="E69" s="14" t="s">
        <v>745</v>
      </c>
      <c r="F69" s="15">
        <v>0</v>
      </c>
      <c r="G69" s="16">
        <f>_xlfn.IFNA(INDEX(Calculations!$F$3:$F$159,MATCH(Summary_Table[[#This Row],[LEA ID]],Calculations!$A$3:$A$159,0)),0)</f>
        <v>32056.466980673773</v>
      </c>
      <c r="I69" s="16"/>
      <c r="J69" s="17"/>
    </row>
    <row r="70" spans="1:10" x14ac:dyDescent="0.3">
      <c r="A70" s="13" t="s">
        <v>80</v>
      </c>
      <c r="B70" s="13" t="s">
        <v>318</v>
      </c>
      <c r="C70" s="14" t="s">
        <v>319</v>
      </c>
      <c r="D70" s="14" t="s">
        <v>272</v>
      </c>
      <c r="E70" s="14" t="s">
        <v>745</v>
      </c>
      <c r="F70" s="15">
        <v>0</v>
      </c>
      <c r="G70" s="16">
        <f>_xlfn.IFNA(INDEX(Calculations!$F$3:$F$159,MATCH(Summary_Table[[#This Row],[LEA ID]],Calculations!$A$3:$A$159,0)),0)</f>
        <v>21475.307900886775</v>
      </c>
      <c r="I70" s="16"/>
      <c r="J70" s="17"/>
    </row>
    <row r="71" spans="1:10" x14ac:dyDescent="0.3">
      <c r="A71" s="13" t="s">
        <v>82</v>
      </c>
      <c r="B71" s="13" t="s">
        <v>320</v>
      </c>
      <c r="C71" s="14" t="s">
        <v>83</v>
      </c>
      <c r="D71" s="14" t="s">
        <v>272</v>
      </c>
      <c r="E71" s="14" t="s">
        <v>745</v>
      </c>
      <c r="F71" s="15">
        <v>0</v>
      </c>
      <c r="G71" s="16">
        <f>_xlfn.IFNA(INDEX(Calculations!$F$3:$F$159,MATCH(Summary_Table[[#This Row],[LEA ID]],Calculations!$A$3:$A$159,0)),0)</f>
        <v>21658.796208628748</v>
      </c>
      <c r="I71" s="16"/>
      <c r="J71" s="17"/>
    </row>
    <row r="72" spans="1:10" x14ac:dyDescent="0.3">
      <c r="A72" s="13" t="s">
        <v>84</v>
      </c>
      <c r="B72" s="13" t="s">
        <v>321</v>
      </c>
      <c r="C72" s="14" t="s">
        <v>322</v>
      </c>
      <c r="D72" s="14" t="s">
        <v>272</v>
      </c>
      <c r="E72" s="14" t="s">
        <v>745</v>
      </c>
      <c r="F72" s="15">
        <v>0</v>
      </c>
      <c r="G72" s="16">
        <f>_xlfn.IFNA(INDEX(Calculations!$F$3:$F$159,MATCH(Summary_Table[[#This Row],[LEA ID]],Calculations!$A$3:$A$159,0)),0)</f>
        <v>26582.399133038303</v>
      </c>
      <c r="I72" s="16"/>
      <c r="J72" s="17"/>
    </row>
    <row r="73" spans="1:10" x14ac:dyDescent="0.3">
      <c r="A73" s="13" t="s">
        <v>86</v>
      </c>
      <c r="B73" s="13" t="s">
        <v>323</v>
      </c>
      <c r="C73" s="14" t="s">
        <v>324</v>
      </c>
      <c r="D73" s="14" t="s">
        <v>272</v>
      </c>
      <c r="E73" s="14" t="s">
        <v>745</v>
      </c>
      <c r="F73" s="15">
        <v>0</v>
      </c>
      <c r="G73" s="16">
        <f>_xlfn.IFNA(INDEX(Calculations!$F$3:$F$159,MATCH(Summary_Table[[#This Row],[LEA ID]],Calculations!$A$3:$A$159,0)),0)</f>
        <v>54503.203294441562</v>
      </c>
      <c r="I73" s="16"/>
      <c r="J73" s="17"/>
    </row>
    <row r="74" spans="1:10" x14ac:dyDescent="0.3">
      <c r="A74" s="13" t="s">
        <v>88</v>
      </c>
      <c r="B74" s="13" t="s">
        <v>325</v>
      </c>
      <c r="C74" s="14" t="s">
        <v>326</v>
      </c>
      <c r="D74" s="14" t="s">
        <v>272</v>
      </c>
      <c r="E74" s="14" t="s">
        <v>745</v>
      </c>
      <c r="F74" s="15">
        <v>0</v>
      </c>
      <c r="G74" s="16">
        <f>_xlfn.IFNA(INDEX(Calculations!$F$3:$F$159,MATCH(Summary_Table[[#This Row],[LEA ID]],Calculations!$A$3:$A$159,0)),0)</f>
        <v>17041.007130455808</v>
      </c>
      <c r="I74" s="16"/>
      <c r="J74" s="17"/>
    </row>
    <row r="75" spans="1:10" x14ac:dyDescent="0.3">
      <c r="A75" s="13" t="s">
        <v>90</v>
      </c>
      <c r="B75" s="13" t="s">
        <v>327</v>
      </c>
      <c r="C75" s="14" t="s">
        <v>328</v>
      </c>
      <c r="D75" s="14" t="s">
        <v>272</v>
      </c>
      <c r="E75" s="14" t="s">
        <v>745</v>
      </c>
      <c r="F75" s="15">
        <v>0</v>
      </c>
      <c r="G75" s="16">
        <f>_xlfn.IFNA(INDEX(Calculations!$F$3:$F$159,MATCH(Summary_Table[[#This Row],[LEA ID]],Calculations!$A$3:$A$159,0)),0)</f>
        <v>18417.169438520592</v>
      </c>
      <c r="I75" s="16"/>
      <c r="J75" s="17"/>
    </row>
    <row r="76" spans="1:10" x14ac:dyDescent="0.3">
      <c r="A76" s="13" t="s">
        <v>92</v>
      </c>
      <c r="B76" s="13" t="s">
        <v>329</v>
      </c>
      <c r="C76" s="14" t="s">
        <v>330</v>
      </c>
      <c r="D76" s="14" t="s">
        <v>272</v>
      </c>
      <c r="E76" s="14" t="s">
        <v>745</v>
      </c>
      <c r="F76" s="15">
        <v>0</v>
      </c>
      <c r="G76" s="16">
        <f>_xlfn.IFNA(INDEX(Calculations!$F$3:$F$159,MATCH(Summary_Table[[#This Row],[LEA ID]],Calculations!$A$3:$A$159,0)),0)</f>
        <v>11597.520667444001</v>
      </c>
      <c r="I76" s="16"/>
      <c r="J76" s="17"/>
    </row>
    <row r="77" spans="1:10" x14ac:dyDescent="0.3">
      <c r="A77" s="13" t="s">
        <v>94</v>
      </c>
      <c r="B77" s="13" t="s">
        <v>331</v>
      </c>
      <c r="C77" s="14" t="s">
        <v>95</v>
      </c>
      <c r="D77" s="14" t="s">
        <v>272</v>
      </c>
      <c r="E77" s="14" t="s">
        <v>745</v>
      </c>
      <c r="F77" s="15">
        <v>0</v>
      </c>
      <c r="G77" s="16">
        <f>_xlfn.IFNA(INDEX(Calculations!$F$3:$F$159,MATCH(Summary_Table[[#This Row],[LEA ID]],Calculations!$A$3:$A$159,0)),0)</f>
        <v>38142.162520782476</v>
      </c>
      <c r="I77" s="16"/>
      <c r="J77" s="17"/>
    </row>
    <row r="78" spans="1:10" x14ac:dyDescent="0.3">
      <c r="A78" s="13" t="s">
        <v>96</v>
      </c>
      <c r="B78" s="13" t="s">
        <v>332</v>
      </c>
      <c r="C78" s="14" t="s">
        <v>333</v>
      </c>
      <c r="D78" s="14" t="s">
        <v>272</v>
      </c>
      <c r="E78" s="14" t="s">
        <v>745</v>
      </c>
      <c r="F78" s="15">
        <v>0</v>
      </c>
      <c r="G78" s="16">
        <f>_xlfn.IFNA(INDEX(Calculations!$F$3:$F$159,MATCH(Summary_Table[[#This Row],[LEA ID]],Calculations!$A$3:$A$159,0)),0)</f>
        <v>38295.069443900786</v>
      </c>
      <c r="I78" s="16"/>
      <c r="J78" s="17"/>
    </row>
    <row r="79" spans="1:10" x14ac:dyDescent="0.3">
      <c r="A79" s="13" t="s">
        <v>98</v>
      </c>
      <c r="B79" s="13" t="s">
        <v>334</v>
      </c>
      <c r="C79" s="14" t="s">
        <v>335</v>
      </c>
      <c r="D79" s="14" t="s">
        <v>272</v>
      </c>
      <c r="E79" s="14" t="s">
        <v>745</v>
      </c>
      <c r="F79" s="15">
        <v>0</v>
      </c>
      <c r="G79" s="16">
        <f>_xlfn.IFNA(INDEX(Calculations!$F$3:$F$159,MATCH(Summary_Table[[#This Row],[LEA ID]],Calculations!$A$3:$A$159,0)),0)</f>
        <v>36888.325751212338</v>
      </c>
      <c r="I79" s="16"/>
      <c r="J79" s="17"/>
    </row>
    <row r="80" spans="1:10" x14ac:dyDescent="0.3">
      <c r="A80" s="13" t="s">
        <v>100</v>
      </c>
      <c r="B80" s="13" t="s">
        <v>336</v>
      </c>
      <c r="C80" s="14" t="s">
        <v>337</v>
      </c>
      <c r="D80" s="14" t="s">
        <v>272</v>
      </c>
      <c r="E80" s="14" t="s">
        <v>745</v>
      </c>
      <c r="F80" s="15">
        <v>0</v>
      </c>
      <c r="G80" s="16">
        <f>_xlfn.IFNA(INDEX(Calculations!$F$3:$F$159,MATCH(Summary_Table[[#This Row],[LEA ID]],Calculations!$A$3:$A$159,0)),0)</f>
        <v>40374.60359830979</v>
      </c>
      <c r="I80" s="16"/>
      <c r="J80" s="17"/>
    </row>
    <row r="81" spans="1:10" x14ac:dyDescent="0.3">
      <c r="A81" s="13" t="s">
        <v>102</v>
      </c>
      <c r="B81" s="13" t="s">
        <v>338</v>
      </c>
      <c r="C81" s="14" t="s">
        <v>339</v>
      </c>
      <c r="D81" s="14" t="s">
        <v>272</v>
      </c>
      <c r="E81" s="14" t="s">
        <v>745</v>
      </c>
      <c r="F81" s="15">
        <v>0</v>
      </c>
      <c r="G81" s="16">
        <f>_xlfn.IFNA(INDEX(Calculations!$F$3:$F$159,MATCH(Summary_Table[[#This Row],[LEA ID]],Calculations!$A$3:$A$159,0)),0)</f>
        <v>25848.44590207042</v>
      </c>
      <c r="I81" s="16"/>
      <c r="J81" s="17"/>
    </row>
    <row r="82" spans="1:10" x14ac:dyDescent="0.3">
      <c r="A82" s="13" t="s">
        <v>104</v>
      </c>
      <c r="B82" s="13" t="s">
        <v>340</v>
      </c>
      <c r="C82" s="14" t="s">
        <v>341</v>
      </c>
      <c r="D82" s="14" t="s">
        <v>272</v>
      </c>
      <c r="E82" s="14" t="s">
        <v>745</v>
      </c>
      <c r="F82" s="15">
        <v>0</v>
      </c>
      <c r="G82" s="16">
        <f>_xlfn.IFNA(INDEX(Calculations!$F$3:$F$159,MATCH(Summary_Table[[#This Row],[LEA ID]],Calculations!$A$3:$A$159,0)),0)</f>
        <v>16398.798053358911</v>
      </c>
      <c r="I82" s="16"/>
      <c r="J82" s="17"/>
    </row>
    <row r="83" spans="1:10" x14ac:dyDescent="0.3">
      <c r="A83" s="13" t="s">
        <v>106</v>
      </c>
      <c r="B83" s="13" t="s">
        <v>342</v>
      </c>
      <c r="C83" s="14" t="s">
        <v>343</v>
      </c>
      <c r="D83" s="14" t="s">
        <v>272</v>
      </c>
      <c r="E83" s="14" t="s">
        <v>745</v>
      </c>
      <c r="F83" s="15">
        <v>0</v>
      </c>
      <c r="G83" s="16">
        <f>_xlfn.IFNA(INDEX(Calculations!$F$3:$F$159,MATCH(Summary_Table[[#This Row],[LEA ID]],Calculations!$A$3:$A$159,0)),0)</f>
        <v>28509.026364328998</v>
      </c>
      <c r="I83" s="16"/>
      <c r="J83" s="17"/>
    </row>
    <row r="84" spans="1:10" x14ac:dyDescent="0.3">
      <c r="A84" s="13" t="s">
        <v>108</v>
      </c>
      <c r="B84" s="13" t="s">
        <v>344</v>
      </c>
      <c r="C84" s="14" t="s">
        <v>109</v>
      </c>
      <c r="D84" s="14" t="s">
        <v>272</v>
      </c>
      <c r="E84" s="14" t="s">
        <v>745</v>
      </c>
      <c r="F84" s="15">
        <v>0</v>
      </c>
      <c r="G84" s="16">
        <f>_xlfn.IFNA(INDEX(Calculations!$F$3:$F$159,MATCH(Summary_Table[[#This Row],[LEA ID]],Calculations!$A$3:$A$159,0)),0)</f>
        <v>24074.725593898031</v>
      </c>
      <c r="I84" s="16"/>
      <c r="J84" s="17"/>
    </row>
    <row r="85" spans="1:10" x14ac:dyDescent="0.3">
      <c r="A85" s="13" t="s">
        <v>110</v>
      </c>
      <c r="B85" s="13" t="s">
        <v>345</v>
      </c>
      <c r="C85" s="14" t="s">
        <v>346</v>
      </c>
      <c r="D85" s="14" t="s">
        <v>272</v>
      </c>
      <c r="E85" s="14" t="s">
        <v>745</v>
      </c>
      <c r="F85" s="15">
        <v>0</v>
      </c>
      <c r="G85" s="16">
        <f>_xlfn.IFNA(INDEX(Calculations!$F$3:$F$159,MATCH(Summary_Table[[#This Row],[LEA ID]],Calculations!$A$3:$A$159,0)),0)</f>
        <v>64870.29268186292</v>
      </c>
      <c r="I85" s="16"/>
      <c r="J85" s="17"/>
    </row>
    <row r="86" spans="1:10" x14ac:dyDescent="0.3">
      <c r="A86" s="13" t="s">
        <v>112</v>
      </c>
      <c r="B86" s="13" t="s">
        <v>347</v>
      </c>
      <c r="C86" s="14" t="s">
        <v>348</v>
      </c>
      <c r="D86" s="14" t="s">
        <v>272</v>
      </c>
      <c r="E86" s="14" t="s">
        <v>745</v>
      </c>
      <c r="F86" s="15">
        <v>0</v>
      </c>
      <c r="G86" s="16">
        <f>_xlfn.IFNA(INDEX(Calculations!$F$3:$F$159,MATCH(Summary_Table[[#This Row],[LEA ID]],Calculations!$A$3:$A$159,0)),0)</f>
        <v>58570.527449388581</v>
      </c>
      <c r="I86" s="16"/>
      <c r="J86" s="17"/>
    </row>
    <row r="87" spans="1:10" x14ac:dyDescent="0.3">
      <c r="A87" s="13" t="s">
        <v>114</v>
      </c>
      <c r="B87" s="13" t="s">
        <v>349</v>
      </c>
      <c r="C87" s="14" t="s">
        <v>350</v>
      </c>
      <c r="D87" s="14" t="s">
        <v>272</v>
      </c>
      <c r="E87" s="14" t="s">
        <v>745</v>
      </c>
      <c r="F87" s="15">
        <v>0</v>
      </c>
      <c r="G87" s="16">
        <f>_xlfn.IFNA(INDEX(Calculations!$F$3:$F$159,MATCH(Summary_Table[[#This Row],[LEA ID]],Calculations!$A$3:$A$159,0)),0)</f>
        <v>37041.232674330648</v>
      </c>
      <c r="I87" s="16"/>
      <c r="J87" s="17"/>
    </row>
    <row r="88" spans="1:10" x14ac:dyDescent="0.3">
      <c r="A88" s="13" t="s">
        <v>116</v>
      </c>
      <c r="B88" s="13" t="s">
        <v>351</v>
      </c>
      <c r="C88" s="14" t="s">
        <v>352</v>
      </c>
      <c r="D88" s="14" t="s">
        <v>272</v>
      </c>
      <c r="E88" s="14" t="s">
        <v>745</v>
      </c>
      <c r="F88" s="15">
        <v>0</v>
      </c>
      <c r="G88" s="16">
        <f>_xlfn.IFNA(INDEX(Calculations!$F$3:$F$159,MATCH(Summary_Table[[#This Row],[LEA ID]],Calculations!$A$3:$A$159,0)),0)</f>
        <v>21781.121747123394</v>
      </c>
      <c r="I88" s="16"/>
      <c r="J88" s="17"/>
    </row>
    <row r="89" spans="1:10" x14ac:dyDescent="0.3">
      <c r="A89" s="13" t="s">
        <v>118</v>
      </c>
      <c r="B89" s="13" t="s">
        <v>353</v>
      </c>
      <c r="C89" s="14" t="s">
        <v>354</v>
      </c>
      <c r="D89" s="14" t="s">
        <v>272</v>
      </c>
      <c r="E89" s="14" t="s">
        <v>745</v>
      </c>
      <c r="F89" s="15">
        <v>0</v>
      </c>
      <c r="G89" s="16">
        <f>_xlfn.IFNA(INDEX(Calculations!$F$3:$F$159,MATCH(Summary_Table[[#This Row],[LEA ID]],Calculations!$A$3:$A$159,0)),0)</f>
        <v>0</v>
      </c>
      <c r="I89" s="16"/>
      <c r="J89" s="17"/>
    </row>
    <row r="90" spans="1:10" x14ac:dyDescent="0.3">
      <c r="A90" s="13" t="s">
        <v>119</v>
      </c>
      <c r="B90" s="13" t="s">
        <v>355</v>
      </c>
      <c r="C90" s="14" t="s">
        <v>120</v>
      </c>
      <c r="D90" s="14" t="s">
        <v>272</v>
      </c>
      <c r="E90" s="14" t="s">
        <v>745</v>
      </c>
      <c r="F90" s="15">
        <v>0</v>
      </c>
      <c r="G90" s="16">
        <f>_xlfn.IFNA(INDEX(Calculations!$F$3:$F$159,MATCH(Summary_Table[[#This Row],[LEA ID]],Calculations!$A$3:$A$159,0)),0)</f>
        <v>14135.775591207934</v>
      </c>
      <c r="I90" s="16"/>
      <c r="J90" s="17"/>
    </row>
    <row r="91" spans="1:10" x14ac:dyDescent="0.3">
      <c r="A91" s="13" t="s">
        <v>121</v>
      </c>
      <c r="B91" s="13" t="s">
        <v>356</v>
      </c>
      <c r="C91" s="14" t="s">
        <v>357</v>
      </c>
      <c r="D91" s="14" t="s">
        <v>272</v>
      </c>
      <c r="E91" s="14" t="s">
        <v>745</v>
      </c>
      <c r="F91" s="15">
        <v>0</v>
      </c>
      <c r="G91" s="16">
        <f>_xlfn.IFNA(INDEX(Calculations!$F$3:$F$159,MATCH(Summary_Table[[#This Row],[LEA ID]],Calculations!$A$3:$A$159,0)),0)</f>
        <v>21689.377593252408</v>
      </c>
      <c r="I91" s="16"/>
      <c r="J91" s="17"/>
    </row>
    <row r="92" spans="1:10" x14ac:dyDescent="0.3">
      <c r="A92" s="13" t="s">
        <v>123</v>
      </c>
      <c r="B92" s="13" t="s">
        <v>358</v>
      </c>
      <c r="C92" s="14" t="s">
        <v>359</v>
      </c>
      <c r="D92" s="14" t="s">
        <v>272</v>
      </c>
      <c r="E92" s="14" t="s">
        <v>745</v>
      </c>
      <c r="F92" s="15">
        <v>0</v>
      </c>
      <c r="G92" s="16">
        <f>_xlfn.IFNA(INDEX(Calculations!$F$3:$F$159,MATCH(Summary_Table[[#This Row],[LEA ID]],Calculations!$A$3:$A$159,0)),0)</f>
        <v>14502.752206691875</v>
      </c>
      <c r="I92" s="16"/>
      <c r="J92" s="17"/>
    </row>
    <row r="93" spans="1:10" x14ac:dyDescent="0.3">
      <c r="A93" s="13" t="s">
        <v>125</v>
      </c>
      <c r="B93" s="13" t="s">
        <v>360</v>
      </c>
      <c r="C93" s="14" t="s">
        <v>361</v>
      </c>
      <c r="D93" s="14" t="s">
        <v>272</v>
      </c>
      <c r="E93" s="14" t="s">
        <v>745</v>
      </c>
      <c r="F93" s="15">
        <v>0</v>
      </c>
      <c r="G93" s="16">
        <f>_xlfn.IFNA(INDEX(Calculations!$F$3:$F$159,MATCH(Summary_Table[[#This Row],[LEA ID]],Calculations!$A$3:$A$159,0)),0)</f>
        <v>25603.794825081124</v>
      </c>
      <c r="I93" s="16"/>
      <c r="J93" s="17"/>
    </row>
    <row r="94" spans="1:10" x14ac:dyDescent="0.3">
      <c r="A94" s="13" t="s">
        <v>127</v>
      </c>
      <c r="B94" s="13" t="s">
        <v>362</v>
      </c>
      <c r="C94" s="14" t="s">
        <v>128</v>
      </c>
      <c r="D94" s="14" t="s">
        <v>272</v>
      </c>
      <c r="E94" s="14" t="s">
        <v>745</v>
      </c>
      <c r="F94" s="15">
        <v>0</v>
      </c>
      <c r="G94" s="16">
        <f>_xlfn.IFNA(INDEX(Calculations!$F$3:$F$159,MATCH(Summary_Table[[#This Row],[LEA ID]],Calculations!$A$3:$A$159,0)),0)</f>
        <v>12576.124975401181</v>
      </c>
      <c r="I94" s="16"/>
      <c r="J94" s="17"/>
    </row>
    <row r="95" spans="1:10" x14ac:dyDescent="0.3">
      <c r="A95" s="13" t="s">
        <v>129</v>
      </c>
      <c r="B95" s="13" t="s">
        <v>363</v>
      </c>
      <c r="C95" s="14" t="s">
        <v>130</v>
      </c>
      <c r="D95" s="14" t="s">
        <v>272</v>
      </c>
      <c r="E95" s="14" t="s">
        <v>745</v>
      </c>
      <c r="F95" s="15">
        <v>0</v>
      </c>
      <c r="G95" s="16">
        <f>_xlfn.IFNA(INDEX(Calculations!$F$3:$F$159,MATCH(Summary_Table[[#This Row],[LEA ID]],Calculations!$A$3:$A$159,0)),0)</f>
        <v>18906.47159249918</v>
      </c>
      <c r="I95" s="16"/>
      <c r="J95" s="17"/>
    </row>
    <row r="96" spans="1:10" x14ac:dyDescent="0.3">
      <c r="A96" s="13" t="s">
        <v>131</v>
      </c>
      <c r="B96" s="13" t="s">
        <v>364</v>
      </c>
      <c r="C96" s="14" t="s">
        <v>365</v>
      </c>
      <c r="D96" s="14" t="s">
        <v>272</v>
      </c>
      <c r="E96" s="14" t="s">
        <v>745</v>
      </c>
      <c r="F96" s="15">
        <v>0</v>
      </c>
      <c r="G96" s="16">
        <f>_xlfn.IFNA(INDEX(Calculations!$F$3:$F$159,MATCH(Summary_Table[[#This Row],[LEA ID]],Calculations!$A$3:$A$159,0)),0)</f>
        <v>16765.774668842852</v>
      </c>
      <c r="I96" s="16"/>
      <c r="J96" s="17"/>
    </row>
    <row r="97" spans="1:10" x14ac:dyDescent="0.3">
      <c r="A97" s="13" t="s">
        <v>133</v>
      </c>
      <c r="B97" s="13" t="s">
        <v>366</v>
      </c>
      <c r="C97" s="14" t="s">
        <v>367</v>
      </c>
      <c r="D97" s="14" t="s">
        <v>272</v>
      </c>
      <c r="E97" s="14" t="s">
        <v>745</v>
      </c>
      <c r="F97" s="15">
        <v>0</v>
      </c>
      <c r="G97" s="16">
        <f>_xlfn.IFNA(INDEX(Calculations!$F$3:$F$159,MATCH(Summary_Table[[#This Row],[LEA ID]],Calculations!$A$3:$A$159,0)),0)</f>
        <v>28631.351902823644</v>
      </c>
      <c r="I97" s="16"/>
      <c r="J97" s="17"/>
    </row>
    <row r="98" spans="1:10" x14ac:dyDescent="0.3">
      <c r="A98" s="13" t="s">
        <v>135</v>
      </c>
      <c r="B98" s="13" t="s">
        <v>368</v>
      </c>
      <c r="C98" s="14" t="s">
        <v>369</v>
      </c>
      <c r="D98" s="14" t="s">
        <v>272</v>
      </c>
      <c r="E98" s="14" t="s">
        <v>745</v>
      </c>
      <c r="F98" s="15">
        <v>0</v>
      </c>
      <c r="G98" s="16">
        <f>_xlfn.IFNA(INDEX(Calculations!$F$3:$F$159,MATCH(Summary_Table[[#This Row],[LEA ID]],Calculations!$A$3:$A$159,0)),0)</f>
        <v>19701.58759271439</v>
      </c>
      <c r="I98" s="16"/>
      <c r="J98" s="17"/>
    </row>
    <row r="99" spans="1:10" x14ac:dyDescent="0.3">
      <c r="A99" s="13" t="s">
        <v>137</v>
      </c>
      <c r="B99" s="13" t="s">
        <v>370</v>
      </c>
      <c r="C99" s="14" t="s">
        <v>138</v>
      </c>
      <c r="D99" s="14" t="s">
        <v>272</v>
      </c>
      <c r="E99" s="14" t="s">
        <v>745</v>
      </c>
      <c r="F99" s="15">
        <v>0</v>
      </c>
      <c r="G99" s="16">
        <f>_xlfn.IFNA(INDEX(Calculations!$F$3:$F$159,MATCH(Summary_Table[[#This Row],[LEA ID]],Calculations!$A$3:$A$159,0)),0)</f>
        <v>68173.082221218399</v>
      </c>
      <c r="I99" s="16"/>
      <c r="J99" s="17"/>
    </row>
    <row r="100" spans="1:10" x14ac:dyDescent="0.3">
      <c r="A100" s="13" t="s">
        <v>139</v>
      </c>
      <c r="B100" s="13" t="s">
        <v>371</v>
      </c>
      <c r="C100" s="14" t="s">
        <v>140</v>
      </c>
      <c r="D100" s="14" t="s">
        <v>272</v>
      </c>
      <c r="E100" s="14" t="s">
        <v>745</v>
      </c>
      <c r="F100" s="15">
        <v>0</v>
      </c>
      <c r="G100" s="16">
        <f>_xlfn.IFNA(INDEX(Calculations!$F$3:$F$159,MATCH(Summary_Table[[#This Row],[LEA ID]],Calculations!$A$3:$A$159,0)),0)</f>
        <v>36735.418828094029</v>
      </c>
      <c r="I100" s="16"/>
      <c r="J100" s="17"/>
    </row>
    <row r="101" spans="1:10" x14ac:dyDescent="0.3">
      <c r="A101" s="13" t="s">
        <v>141</v>
      </c>
      <c r="B101" s="13" t="s">
        <v>372</v>
      </c>
      <c r="C101" s="14" t="s">
        <v>373</v>
      </c>
      <c r="D101" s="14" t="s">
        <v>272</v>
      </c>
      <c r="E101" s="14" t="s">
        <v>745</v>
      </c>
      <c r="F101" s="15">
        <v>0</v>
      </c>
      <c r="G101" s="16">
        <f>_xlfn.IFNA(INDEX(Calculations!$F$3:$F$159,MATCH(Summary_Table[[#This Row],[LEA ID]],Calculations!$A$3:$A$159,0)),0)</f>
        <v>14411.008052820889</v>
      </c>
      <c r="I101" s="16"/>
      <c r="J101" s="17"/>
    </row>
    <row r="102" spans="1:10" x14ac:dyDescent="0.3">
      <c r="A102" s="13" t="s">
        <v>143</v>
      </c>
      <c r="B102" s="13" t="s">
        <v>374</v>
      </c>
      <c r="C102" s="14" t="s">
        <v>375</v>
      </c>
      <c r="D102" s="14" t="s">
        <v>272</v>
      </c>
      <c r="E102" s="14" t="s">
        <v>745</v>
      </c>
      <c r="F102" s="15">
        <v>0</v>
      </c>
      <c r="G102" s="16">
        <f>_xlfn.IFNA(INDEX(Calculations!$F$3:$F$159,MATCH(Summary_Table[[#This Row],[LEA ID]],Calculations!$A$3:$A$159,0)),0)</f>
        <v>30099.258364759415</v>
      </c>
      <c r="I102" s="16"/>
      <c r="J102" s="17"/>
    </row>
    <row r="103" spans="1:10" x14ac:dyDescent="0.3">
      <c r="A103" s="13" t="s">
        <v>145</v>
      </c>
      <c r="B103" s="13" t="s">
        <v>376</v>
      </c>
      <c r="C103" s="14" t="s">
        <v>377</v>
      </c>
      <c r="D103" s="14" t="s">
        <v>272</v>
      </c>
      <c r="E103" s="14" t="s">
        <v>745</v>
      </c>
      <c r="F103" s="15">
        <v>0</v>
      </c>
      <c r="G103" s="16">
        <f>_xlfn.IFNA(INDEX(Calculations!$F$3:$F$159,MATCH(Summary_Table[[#This Row],[LEA ID]],Calculations!$A$3:$A$159,0)),0)</f>
        <v>16979.844361208485</v>
      </c>
      <c r="I103" s="16"/>
      <c r="J103" s="17"/>
    </row>
    <row r="104" spans="1:10" x14ac:dyDescent="0.3">
      <c r="A104" s="13" t="s">
        <v>147</v>
      </c>
      <c r="B104" s="13" t="s">
        <v>378</v>
      </c>
      <c r="C104" s="14" t="s">
        <v>148</v>
      </c>
      <c r="D104" s="14" t="s">
        <v>272</v>
      </c>
      <c r="E104" s="14" t="s">
        <v>745</v>
      </c>
      <c r="F104" s="15">
        <v>0</v>
      </c>
      <c r="G104" s="16">
        <f>_xlfn.IFNA(INDEX(Calculations!$F$3:$F$159,MATCH(Summary_Table[[#This Row],[LEA ID]],Calculations!$A$3:$A$159,0)),0)</f>
        <v>64656.222989497292</v>
      </c>
      <c r="I104" s="16"/>
      <c r="J104" s="17"/>
    </row>
    <row r="105" spans="1:10" x14ac:dyDescent="0.3">
      <c r="A105" s="13" t="s">
        <v>149</v>
      </c>
      <c r="B105" s="13" t="s">
        <v>379</v>
      </c>
      <c r="C105" s="14" t="s">
        <v>150</v>
      </c>
      <c r="D105" s="14" t="s">
        <v>272</v>
      </c>
      <c r="E105" s="14" t="s">
        <v>745</v>
      </c>
      <c r="F105" s="15">
        <v>0</v>
      </c>
      <c r="G105" s="16">
        <f>_xlfn.IFNA(INDEX(Calculations!$F$3:$F$159,MATCH(Summary_Table[[#This Row],[LEA ID]],Calculations!$A$3:$A$159,0)),0)</f>
        <v>37010.651289706984</v>
      </c>
      <c r="I105" s="16"/>
      <c r="J105" s="17"/>
    </row>
    <row r="106" spans="1:10" x14ac:dyDescent="0.3">
      <c r="A106" s="13" t="s">
        <v>151</v>
      </c>
      <c r="B106" s="13" t="s">
        <v>380</v>
      </c>
      <c r="C106" s="14" t="s">
        <v>152</v>
      </c>
      <c r="D106" s="14" t="s">
        <v>272</v>
      </c>
      <c r="E106" s="14" t="s">
        <v>745</v>
      </c>
      <c r="F106" s="15">
        <v>0</v>
      </c>
      <c r="G106" s="16">
        <f>_xlfn.IFNA(INDEX(Calculations!$F$3:$F$159,MATCH(Summary_Table[[#This Row],[LEA ID]],Calculations!$A$3:$A$159,0)),0)</f>
        <v>48876.22852368778</v>
      </c>
      <c r="I106" s="16"/>
      <c r="J106" s="17"/>
    </row>
    <row r="107" spans="1:10" x14ac:dyDescent="0.3">
      <c r="A107" s="13" t="s">
        <v>153</v>
      </c>
      <c r="B107" s="13" t="s">
        <v>381</v>
      </c>
      <c r="C107" s="14" t="s">
        <v>154</v>
      </c>
      <c r="D107" s="14" t="s">
        <v>272</v>
      </c>
      <c r="E107" s="14" t="s">
        <v>745</v>
      </c>
      <c r="F107" s="15">
        <v>0</v>
      </c>
      <c r="G107" s="16">
        <f>_xlfn.IFNA(INDEX(Calculations!$F$3:$F$159,MATCH(Summary_Table[[#This Row],[LEA ID]],Calculations!$A$3:$A$159,0)),0)</f>
        <v>47622.391754117649</v>
      </c>
      <c r="I107" s="16"/>
      <c r="J107" s="17"/>
    </row>
    <row r="108" spans="1:10" x14ac:dyDescent="0.3">
      <c r="A108" s="13" t="s">
        <v>155</v>
      </c>
      <c r="B108" s="13" t="s">
        <v>382</v>
      </c>
      <c r="C108" s="14" t="s">
        <v>156</v>
      </c>
      <c r="D108" s="14" t="s">
        <v>272</v>
      </c>
      <c r="E108" s="14" t="s">
        <v>745</v>
      </c>
      <c r="F108" s="15">
        <v>0</v>
      </c>
      <c r="G108" s="16">
        <f>_xlfn.IFNA(INDEX(Calculations!$F$3:$F$159,MATCH(Summary_Table[[#This Row],[LEA ID]],Calculations!$A$3:$A$159,0)),0)</f>
        <v>33157.396827125594</v>
      </c>
      <c r="I108" s="16"/>
      <c r="J108" s="17"/>
    </row>
    <row r="109" spans="1:10" x14ac:dyDescent="0.3">
      <c r="A109" s="13" t="s">
        <v>157</v>
      </c>
      <c r="B109" s="13" t="s">
        <v>383</v>
      </c>
      <c r="C109" s="14" t="s">
        <v>158</v>
      </c>
      <c r="D109" s="14" t="s">
        <v>272</v>
      </c>
      <c r="E109" s="14" t="s">
        <v>745</v>
      </c>
      <c r="F109" s="15">
        <v>0</v>
      </c>
      <c r="G109" s="16">
        <f>_xlfn.IFNA(INDEX(Calculations!$F$3:$F$159,MATCH(Summary_Table[[#This Row],[LEA ID]],Calculations!$A$3:$A$159,0)),0)</f>
        <v>21047.168516155511</v>
      </c>
      <c r="I109" s="16"/>
      <c r="J109" s="17"/>
    </row>
    <row r="110" spans="1:10" x14ac:dyDescent="0.3">
      <c r="A110" s="13" t="s">
        <v>159</v>
      </c>
      <c r="B110" s="13" t="s">
        <v>384</v>
      </c>
      <c r="C110" s="14" t="s">
        <v>385</v>
      </c>
      <c r="D110" s="14" t="s">
        <v>272</v>
      </c>
      <c r="E110" s="14" t="s">
        <v>745</v>
      </c>
      <c r="F110" s="15">
        <v>0</v>
      </c>
      <c r="G110" s="16">
        <f>_xlfn.IFNA(INDEX(Calculations!$F$3:$F$159,MATCH(Summary_Table[[#This Row],[LEA ID]],Calculations!$A$3:$A$159,0)),0)</f>
        <v>39824.138675083879</v>
      </c>
      <c r="I110" s="16"/>
      <c r="J110" s="17"/>
    </row>
    <row r="111" spans="1:10" x14ac:dyDescent="0.3">
      <c r="A111" s="13" t="s">
        <v>161</v>
      </c>
      <c r="B111" s="13" t="s">
        <v>386</v>
      </c>
      <c r="C111" s="14" t="s">
        <v>387</v>
      </c>
      <c r="D111" s="14" t="s">
        <v>272</v>
      </c>
      <c r="E111" s="14" t="s">
        <v>745</v>
      </c>
      <c r="F111" s="15">
        <v>0</v>
      </c>
      <c r="G111" s="16">
        <f>_xlfn.IFNA(INDEX(Calculations!$F$3:$F$159,MATCH(Summary_Table[[#This Row],[LEA ID]],Calculations!$A$3:$A$159,0)),0)</f>
        <v>10527.172205615838</v>
      </c>
      <c r="I111" s="16"/>
      <c r="J111" s="17"/>
    </row>
    <row r="112" spans="1:10" x14ac:dyDescent="0.3">
      <c r="A112" s="13" t="s">
        <v>163</v>
      </c>
      <c r="B112" s="13" t="s">
        <v>388</v>
      </c>
      <c r="C112" s="14" t="s">
        <v>389</v>
      </c>
      <c r="D112" s="14" t="s">
        <v>272</v>
      </c>
      <c r="E112" s="14" t="s">
        <v>745</v>
      </c>
      <c r="F112" s="15">
        <v>0</v>
      </c>
      <c r="G112" s="16">
        <f>_xlfn.IFNA(INDEX(Calculations!$F$3:$F$159,MATCH(Summary_Table[[#This Row],[LEA ID]],Calculations!$A$3:$A$159,0)),0)</f>
        <v>17927.867284542001</v>
      </c>
      <c r="I112" s="16"/>
      <c r="J112" s="17"/>
    </row>
    <row r="113" spans="1:10" x14ac:dyDescent="0.3">
      <c r="A113" s="13" t="s">
        <v>165</v>
      </c>
      <c r="B113" s="13" t="s">
        <v>390</v>
      </c>
      <c r="C113" s="14" t="s">
        <v>166</v>
      </c>
      <c r="D113" s="14" t="s">
        <v>272</v>
      </c>
      <c r="E113" s="14" t="s">
        <v>745</v>
      </c>
      <c r="F113" s="15">
        <v>0</v>
      </c>
      <c r="G113" s="16">
        <f>_xlfn.IFNA(INDEX(Calculations!$F$3:$F$159,MATCH(Summary_Table[[#This Row],[LEA ID]],Calculations!$A$3:$A$159,0)),0)</f>
        <v>38447.976367019095</v>
      </c>
      <c r="I113" s="16"/>
      <c r="J113" s="17"/>
    </row>
    <row r="114" spans="1:10" x14ac:dyDescent="0.3">
      <c r="A114" s="13" t="s">
        <v>167</v>
      </c>
      <c r="B114" s="13" t="s">
        <v>391</v>
      </c>
      <c r="C114" s="14" t="s">
        <v>392</v>
      </c>
      <c r="D114" s="14" t="s">
        <v>272</v>
      </c>
      <c r="E114" s="14" t="s">
        <v>745</v>
      </c>
      <c r="F114" s="15">
        <v>0</v>
      </c>
      <c r="G114" s="16">
        <f>_xlfn.IFNA(INDEX(Calculations!$F$3:$F$159,MATCH(Summary_Table[[#This Row],[LEA ID]],Calculations!$A$3:$A$159,0)),0)</f>
        <v>18539.494977015238</v>
      </c>
      <c r="I114" s="16"/>
      <c r="J114" s="17"/>
    </row>
    <row r="115" spans="1:10" x14ac:dyDescent="0.3">
      <c r="A115" s="13" t="s">
        <v>169</v>
      </c>
      <c r="B115" s="13" t="s">
        <v>393</v>
      </c>
      <c r="C115" s="14" t="s">
        <v>394</v>
      </c>
      <c r="D115" s="14" t="s">
        <v>272</v>
      </c>
      <c r="E115" s="14" t="s">
        <v>745</v>
      </c>
      <c r="F115" s="15">
        <v>0</v>
      </c>
      <c r="G115" s="16">
        <f>_xlfn.IFNA(INDEX(Calculations!$F$3:$F$159,MATCH(Summary_Table[[#This Row],[LEA ID]],Calculations!$A$3:$A$159,0)),0)</f>
        <v>0</v>
      </c>
      <c r="I115" s="16"/>
      <c r="J115" s="17"/>
    </row>
    <row r="116" spans="1:10" x14ac:dyDescent="0.3">
      <c r="A116" s="13" t="s">
        <v>170</v>
      </c>
      <c r="B116" s="13" t="s">
        <v>395</v>
      </c>
      <c r="C116" s="14" t="s">
        <v>396</v>
      </c>
      <c r="D116" s="14" t="s">
        <v>272</v>
      </c>
      <c r="E116" s="14" t="s">
        <v>745</v>
      </c>
      <c r="F116" s="15">
        <v>0</v>
      </c>
      <c r="G116" s="16">
        <f>_xlfn.IFNA(INDEX(Calculations!$F$3:$F$159,MATCH(Summary_Table[[#This Row],[LEA ID]],Calculations!$A$3:$A$159,0)),0)</f>
        <v>19212.285438735798</v>
      </c>
      <c r="I116" s="16"/>
      <c r="J116" s="17"/>
    </row>
    <row r="117" spans="1:10" x14ac:dyDescent="0.3">
      <c r="A117" s="13" t="s">
        <v>172</v>
      </c>
      <c r="B117" s="13" t="s">
        <v>397</v>
      </c>
      <c r="C117" s="14" t="s">
        <v>398</v>
      </c>
      <c r="D117" s="14" t="s">
        <v>272</v>
      </c>
      <c r="E117" s="14" t="s">
        <v>745</v>
      </c>
      <c r="F117" s="15">
        <v>0</v>
      </c>
      <c r="G117" s="16">
        <f>_xlfn.IFNA(INDEX(Calculations!$F$3:$F$159,MATCH(Summary_Table[[#This Row],[LEA ID]],Calculations!$A$3:$A$159,0)),0)</f>
        <v>38295.069443900786</v>
      </c>
      <c r="I117" s="16"/>
      <c r="J117" s="17"/>
    </row>
    <row r="118" spans="1:10" x14ac:dyDescent="0.3">
      <c r="A118" s="13" t="s">
        <v>174</v>
      </c>
      <c r="B118" s="13" t="s">
        <v>399</v>
      </c>
      <c r="C118" s="14" t="s">
        <v>175</v>
      </c>
      <c r="D118" s="14" t="s">
        <v>272</v>
      </c>
      <c r="E118" s="14" t="s">
        <v>745</v>
      </c>
      <c r="F118" s="15">
        <v>0</v>
      </c>
      <c r="G118" s="16">
        <f>_xlfn.IFNA(INDEX(Calculations!$F$3:$F$159,MATCH(Summary_Table[[#This Row],[LEA ID]],Calculations!$A$3:$A$159,0)),0)</f>
        <v>13524.147898734696</v>
      </c>
      <c r="I118" s="16"/>
      <c r="J118" s="17"/>
    </row>
    <row r="119" spans="1:10" x14ac:dyDescent="0.3">
      <c r="A119" s="13" t="s">
        <v>176</v>
      </c>
      <c r="B119" s="13" t="s">
        <v>400</v>
      </c>
      <c r="C119" s="14" t="s">
        <v>401</v>
      </c>
      <c r="D119" s="14" t="s">
        <v>272</v>
      </c>
      <c r="E119" s="14" t="s">
        <v>745</v>
      </c>
      <c r="F119" s="15">
        <v>0</v>
      </c>
      <c r="G119" s="16">
        <f>_xlfn.IFNA(INDEX(Calculations!$F$3:$F$159,MATCH(Summary_Table[[#This Row],[LEA ID]],Calculations!$A$3:$A$159,0)),0)</f>
        <v>26062.515594436052</v>
      </c>
      <c r="I119" s="16"/>
      <c r="J119" s="17"/>
    </row>
    <row r="120" spans="1:10" x14ac:dyDescent="0.3">
      <c r="A120" s="13" t="s">
        <v>178</v>
      </c>
      <c r="B120" s="13" t="s">
        <v>402</v>
      </c>
      <c r="C120" s="14" t="s">
        <v>179</v>
      </c>
      <c r="D120" s="14" t="s">
        <v>272</v>
      </c>
      <c r="E120" s="14" t="s">
        <v>745</v>
      </c>
      <c r="F120" s="15">
        <v>0</v>
      </c>
      <c r="G120" s="16">
        <f>_xlfn.IFNA(INDEX(Calculations!$F$3:$F$159,MATCH(Summary_Table[[#This Row],[LEA ID]],Calculations!$A$3:$A$159,0)),0)</f>
        <v>19273.448207983121</v>
      </c>
      <c r="I120" s="16"/>
      <c r="J120" s="17"/>
    </row>
    <row r="121" spans="1:10" x14ac:dyDescent="0.3">
      <c r="A121" s="13" t="s">
        <v>180</v>
      </c>
      <c r="B121" s="13" t="s">
        <v>403</v>
      </c>
      <c r="C121" s="14" t="s">
        <v>404</v>
      </c>
      <c r="D121" s="14" t="s">
        <v>272</v>
      </c>
      <c r="E121" s="14" t="s">
        <v>745</v>
      </c>
      <c r="F121" s="15">
        <v>0</v>
      </c>
      <c r="G121" s="16">
        <f>_xlfn.IFNA(INDEX(Calculations!$F$3:$F$159,MATCH(Summary_Table[[#This Row],[LEA ID]],Calculations!$A$3:$A$159,0)),0)</f>
        <v>15603.682053143704</v>
      </c>
      <c r="I121" s="16"/>
      <c r="J121" s="17"/>
    </row>
    <row r="122" spans="1:10" x14ac:dyDescent="0.3">
      <c r="A122" s="13" t="s">
        <v>182</v>
      </c>
      <c r="B122" s="13" t="s">
        <v>405</v>
      </c>
      <c r="C122" s="14" t="s">
        <v>183</v>
      </c>
      <c r="D122" s="14" t="s">
        <v>272</v>
      </c>
      <c r="E122" s="14" t="s">
        <v>745</v>
      </c>
      <c r="F122" s="15">
        <v>0</v>
      </c>
      <c r="G122" s="16">
        <f>_xlfn.IFNA(INDEX(Calculations!$F$3:$F$159,MATCH(Summary_Table[[#This Row],[LEA ID]],Calculations!$A$3:$A$159,0)),0)</f>
        <v>25236.818209597182</v>
      </c>
      <c r="I122" s="16"/>
      <c r="J122" s="17"/>
    </row>
    <row r="123" spans="1:10" x14ac:dyDescent="0.3">
      <c r="A123" s="13" t="s">
        <v>184</v>
      </c>
      <c r="B123" s="13" t="s">
        <v>406</v>
      </c>
      <c r="C123" s="14" t="s">
        <v>407</v>
      </c>
      <c r="D123" s="14" t="s">
        <v>272</v>
      </c>
      <c r="E123" s="14" t="s">
        <v>745</v>
      </c>
      <c r="F123" s="15">
        <v>0</v>
      </c>
      <c r="G123" s="16">
        <f>_xlfn.IFNA(INDEX(Calculations!$F$3:$F$159,MATCH(Summary_Table[[#This Row],[LEA ID]],Calculations!$A$3:$A$159,0)),0)</f>
        <v>13065.42712937977</v>
      </c>
      <c r="I123" s="16"/>
      <c r="J123" s="17"/>
    </row>
    <row r="124" spans="1:10" x14ac:dyDescent="0.3">
      <c r="A124" s="13" t="s">
        <v>186</v>
      </c>
      <c r="B124" s="13" t="s">
        <v>408</v>
      </c>
      <c r="C124" s="14" t="s">
        <v>409</v>
      </c>
      <c r="D124" s="14" t="s">
        <v>272</v>
      </c>
      <c r="E124" s="14" t="s">
        <v>745</v>
      </c>
      <c r="F124" s="15">
        <v>0</v>
      </c>
      <c r="G124" s="16">
        <f>_xlfn.IFNA(INDEX(Calculations!$F$3:$F$159,MATCH(Summary_Table[[#This Row],[LEA ID]],Calculations!$A$3:$A$159,0)),0)</f>
        <v>23218.446824435501</v>
      </c>
      <c r="I124" s="16"/>
      <c r="J124" s="17"/>
    </row>
    <row r="125" spans="1:10" x14ac:dyDescent="0.3">
      <c r="A125" s="13" t="s">
        <v>188</v>
      </c>
      <c r="B125" s="13" t="s">
        <v>410</v>
      </c>
      <c r="C125" s="14" t="s">
        <v>411</v>
      </c>
      <c r="D125" s="14" t="s">
        <v>272</v>
      </c>
      <c r="E125" s="14" t="s">
        <v>745</v>
      </c>
      <c r="F125" s="15">
        <v>0</v>
      </c>
      <c r="G125" s="16">
        <f>_xlfn.IFNA(INDEX(Calculations!$F$3:$F$159,MATCH(Summary_Table[[#This Row],[LEA ID]],Calculations!$A$3:$A$159,0)),0)</f>
        <v>33707.861750351512</v>
      </c>
      <c r="I125" s="16"/>
      <c r="J125" s="17"/>
    </row>
    <row r="126" spans="1:10" x14ac:dyDescent="0.3">
      <c r="A126" s="13" t="s">
        <v>190</v>
      </c>
      <c r="B126" s="13" t="s">
        <v>412</v>
      </c>
      <c r="C126" s="14" t="s">
        <v>413</v>
      </c>
      <c r="D126" s="14" t="s">
        <v>272</v>
      </c>
      <c r="E126" s="14" t="s">
        <v>745</v>
      </c>
      <c r="F126" s="15">
        <v>0</v>
      </c>
      <c r="G126" s="16">
        <f>_xlfn.IFNA(INDEX(Calculations!$F$3:$F$159,MATCH(Summary_Table[[#This Row],[LEA ID]],Calculations!$A$3:$A$159,0)),0)</f>
        <v>14777.984668304834</v>
      </c>
      <c r="I126" s="16"/>
      <c r="J126" s="17"/>
    </row>
    <row r="127" spans="1:10" x14ac:dyDescent="0.3">
      <c r="A127" s="13" t="s">
        <v>192</v>
      </c>
      <c r="B127" s="13" t="s">
        <v>414</v>
      </c>
      <c r="C127" s="14" t="s">
        <v>193</v>
      </c>
      <c r="D127" s="14" t="s">
        <v>272</v>
      </c>
      <c r="E127" s="14" t="s">
        <v>745</v>
      </c>
      <c r="F127" s="15">
        <v>0</v>
      </c>
      <c r="G127" s="16">
        <f>_xlfn.IFNA(INDEX(Calculations!$F$3:$F$159,MATCH(Summary_Table[[#This Row],[LEA ID]],Calculations!$A$3:$A$159,0)),0)</f>
        <v>21750.540362499731</v>
      </c>
      <c r="I127" s="16"/>
      <c r="J127" s="17"/>
    </row>
    <row r="128" spans="1:10" x14ac:dyDescent="0.3">
      <c r="A128" s="13" t="s">
        <v>194</v>
      </c>
      <c r="B128" s="13" t="s">
        <v>415</v>
      </c>
      <c r="C128" s="14" t="s">
        <v>416</v>
      </c>
      <c r="D128" s="14" t="s">
        <v>272</v>
      </c>
      <c r="E128" s="14" t="s">
        <v>745</v>
      </c>
      <c r="F128" s="15">
        <v>0</v>
      </c>
      <c r="G128" s="16">
        <f>_xlfn.IFNA(INDEX(Calculations!$F$3:$F$159,MATCH(Summary_Table[[#This Row],[LEA ID]],Calculations!$A$3:$A$159,0)),0)</f>
        <v>6796.243281529094</v>
      </c>
      <c r="I128" s="16"/>
      <c r="J128" s="17"/>
    </row>
    <row r="129" spans="1:10" x14ac:dyDescent="0.3">
      <c r="A129" s="13" t="s">
        <v>195</v>
      </c>
      <c r="B129" s="13" t="s">
        <v>417</v>
      </c>
      <c r="C129" s="14" t="s">
        <v>196</v>
      </c>
      <c r="D129" s="14" t="s">
        <v>272</v>
      </c>
      <c r="E129" s="14" t="s">
        <v>745</v>
      </c>
      <c r="F129" s="15">
        <v>0</v>
      </c>
      <c r="G129" s="16">
        <f>_xlfn.IFNA(INDEX(Calculations!$F$3:$F$159,MATCH(Summary_Table[[#This Row],[LEA ID]],Calculations!$A$3:$A$159,0)),0)</f>
        <v>8569.9635897014796</v>
      </c>
      <c r="I129" s="16"/>
      <c r="J129" s="17"/>
    </row>
    <row r="130" spans="1:10" x14ac:dyDescent="0.3">
      <c r="A130" s="13" t="s">
        <v>197</v>
      </c>
      <c r="B130" s="13" t="s">
        <v>418</v>
      </c>
      <c r="C130" s="14" t="s">
        <v>419</v>
      </c>
      <c r="D130" s="14" t="s">
        <v>272</v>
      </c>
      <c r="E130" s="14" t="s">
        <v>745</v>
      </c>
      <c r="F130" s="15">
        <v>0</v>
      </c>
      <c r="G130" s="16">
        <f>_xlfn.IFNA(INDEX(Calculations!$F$3:$F$159,MATCH(Summary_Table[[#This Row],[LEA ID]],Calculations!$A$3:$A$159,0)),0)</f>
        <v>10160.195590131894</v>
      </c>
      <c r="I130" s="16"/>
      <c r="J130" s="17"/>
    </row>
    <row r="131" spans="1:10" x14ac:dyDescent="0.3">
      <c r="A131" s="13" t="s">
        <v>199</v>
      </c>
      <c r="B131" s="13" t="s">
        <v>420</v>
      </c>
      <c r="C131" s="14" t="s">
        <v>421</v>
      </c>
      <c r="D131" s="14" t="s">
        <v>272</v>
      </c>
      <c r="E131" s="14" t="s">
        <v>745</v>
      </c>
      <c r="F131" s="15">
        <v>0</v>
      </c>
      <c r="G131" s="16">
        <f>_xlfn.IFNA(INDEX(Calculations!$F$3:$F$159,MATCH(Summary_Table[[#This Row],[LEA ID]],Calculations!$A$3:$A$159,0)),0)</f>
        <v>94075.514997459977</v>
      </c>
      <c r="I131" s="16"/>
      <c r="J131" s="17"/>
    </row>
    <row r="132" spans="1:10" x14ac:dyDescent="0.3">
      <c r="A132" s="13" t="s">
        <v>201</v>
      </c>
      <c r="B132" s="13" t="s">
        <v>422</v>
      </c>
      <c r="C132" s="14" t="s">
        <v>423</v>
      </c>
      <c r="D132" s="14" t="s">
        <v>272</v>
      </c>
      <c r="E132" s="14" t="s">
        <v>745</v>
      </c>
      <c r="F132" s="15">
        <v>0</v>
      </c>
      <c r="G132" s="16">
        <f>_xlfn.IFNA(INDEX(Calculations!$F$3:$F$159,MATCH(Summary_Table[[#This Row],[LEA ID]],Calculations!$A$3:$A$159,0)),0)</f>
        <v>12147.985590669916</v>
      </c>
      <c r="I132" s="16"/>
      <c r="J132" s="17"/>
    </row>
    <row r="133" spans="1:10" x14ac:dyDescent="0.3">
      <c r="A133" s="13" t="s">
        <v>203</v>
      </c>
      <c r="B133" s="13" t="s">
        <v>424</v>
      </c>
      <c r="C133" s="14" t="s">
        <v>425</v>
      </c>
      <c r="D133" s="14" t="s">
        <v>272</v>
      </c>
      <c r="E133" s="14" t="s">
        <v>745</v>
      </c>
      <c r="F133" s="15">
        <v>0</v>
      </c>
      <c r="G133" s="16">
        <f>_xlfn.IFNA(INDEX(Calculations!$F$3:$F$159,MATCH(Summary_Table[[#This Row],[LEA ID]],Calculations!$A$3:$A$159,0)),0)</f>
        <v>19456.936515725094</v>
      </c>
      <c r="I133" s="16"/>
      <c r="J133" s="17"/>
    </row>
    <row r="134" spans="1:10" x14ac:dyDescent="0.3">
      <c r="A134" s="13" t="s">
        <v>205</v>
      </c>
      <c r="B134" s="13" t="s">
        <v>426</v>
      </c>
      <c r="C134" s="14" t="s">
        <v>206</v>
      </c>
      <c r="D134" s="14" t="s">
        <v>272</v>
      </c>
      <c r="E134" s="14" t="s">
        <v>745</v>
      </c>
      <c r="F134" s="15">
        <v>0</v>
      </c>
      <c r="G134" s="16">
        <f>_xlfn.IFNA(INDEX(Calculations!$F$3:$F$159,MATCH(Summary_Table[[#This Row],[LEA ID]],Calculations!$A$3:$A$159,0)),0)</f>
        <v>26857.631594651259</v>
      </c>
      <c r="I134" s="16"/>
      <c r="J134" s="17"/>
    </row>
    <row r="135" spans="1:10" x14ac:dyDescent="0.3">
      <c r="A135" s="13" t="s">
        <v>207</v>
      </c>
      <c r="B135" s="13" t="s">
        <v>427</v>
      </c>
      <c r="C135" s="14" t="s">
        <v>208</v>
      </c>
      <c r="D135" s="14" t="s">
        <v>272</v>
      </c>
      <c r="E135" s="14" t="s">
        <v>745</v>
      </c>
      <c r="F135" s="15">
        <v>0</v>
      </c>
      <c r="G135" s="16">
        <f>_xlfn.IFNA(INDEX(Calculations!$F$3:$F$159,MATCH(Summary_Table[[#This Row],[LEA ID]],Calculations!$A$3:$A$159,0)),0)</f>
        <v>16429.37943798257</v>
      </c>
      <c r="I135" s="16"/>
      <c r="J135" s="17"/>
    </row>
    <row r="136" spans="1:10" x14ac:dyDescent="0.3">
      <c r="A136" s="13" t="s">
        <v>209</v>
      </c>
      <c r="B136" s="13" t="s">
        <v>428</v>
      </c>
      <c r="C136" s="14" t="s">
        <v>210</v>
      </c>
      <c r="D136" s="14" t="s">
        <v>272</v>
      </c>
      <c r="E136" s="14" t="s">
        <v>745</v>
      </c>
      <c r="F136" s="15">
        <v>0</v>
      </c>
      <c r="G136" s="16">
        <f>_xlfn.IFNA(INDEX(Calculations!$F$3:$F$159,MATCH(Summary_Table[[#This Row],[LEA ID]],Calculations!$A$3:$A$159,0)),0)</f>
        <v>24349.95805551099</v>
      </c>
      <c r="I136" s="16"/>
      <c r="J136" s="17"/>
    </row>
    <row r="137" spans="1:10" x14ac:dyDescent="0.3">
      <c r="A137" s="13" t="s">
        <v>211</v>
      </c>
      <c r="B137" s="13" t="s">
        <v>429</v>
      </c>
      <c r="C137" s="14" t="s">
        <v>430</v>
      </c>
      <c r="D137" s="14" t="s">
        <v>272</v>
      </c>
      <c r="E137" s="14" t="s">
        <v>745</v>
      </c>
      <c r="F137" s="15">
        <v>0</v>
      </c>
      <c r="G137" s="16">
        <f>_xlfn.IFNA(INDEX(Calculations!$F$3:$F$159,MATCH(Summary_Table[[#This Row],[LEA ID]],Calculations!$A$3:$A$159,0)),0)</f>
        <v>19640.424823467067</v>
      </c>
      <c r="I137" s="16"/>
      <c r="J137" s="17"/>
    </row>
    <row r="138" spans="1:10" x14ac:dyDescent="0.3">
      <c r="A138" s="13" t="s">
        <v>213</v>
      </c>
      <c r="B138" s="13" t="s">
        <v>431</v>
      </c>
      <c r="C138" s="14" t="s">
        <v>214</v>
      </c>
      <c r="D138" s="14" t="s">
        <v>272</v>
      </c>
      <c r="E138" s="14" t="s">
        <v>745</v>
      </c>
      <c r="F138" s="15">
        <v>0</v>
      </c>
      <c r="G138" s="16">
        <f>_xlfn.IFNA(INDEX(Calculations!$F$3:$F$159,MATCH(Summary_Table[[#This Row],[LEA ID]],Calculations!$A$3:$A$159,0)),0)</f>
        <v>24655.771901747608</v>
      </c>
      <c r="I138" s="16"/>
      <c r="J138" s="17"/>
    </row>
    <row r="139" spans="1:10" x14ac:dyDescent="0.3">
      <c r="A139" s="13" t="s">
        <v>215</v>
      </c>
      <c r="B139" s="13" t="s">
        <v>432</v>
      </c>
      <c r="C139" s="14" t="s">
        <v>216</v>
      </c>
      <c r="D139" s="14" t="s">
        <v>272</v>
      </c>
      <c r="E139" s="14" t="s">
        <v>745</v>
      </c>
      <c r="F139" s="15">
        <v>0</v>
      </c>
      <c r="G139" s="16">
        <f>_xlfn.IFNA(INDEX(Calculations!$F$3:$F$159,MATCH(Summary_Table[[#This Row],[LEA ID]],Calculations!$A$3:$A$159,0)),0)</f>
        <v>34839.372981426997</v>
      </c>
      <c r="I139" s="16"/>
      <c r="J139" s="17"/>
    </row>
    <row r="140" spans="1:10" x14ac:dyDescent="0.3">
      <c r="A140" s="13" t="s">
        <v>217</v>
      </c>
      <c r="B140" s="13" t="s">
        <v>433</v>
      </c>
      <c r="C140" s="14" t="s">
        <v>434</v>
      </c>
      <c r="D140" s="14" t="s">
        <v>272</v>
      </c>
      <c r="E140" s="14" t="s">
        <v>745</v>
      </c>
      <c r="F140" s="15">
        <v>0</v>
      </c>
      <c r="G140" s="16">
        <f>_xlfn.IFNA(INDEX(Calculations!$F$3:$F$159,MATCH(Summary_Table[[#This Row],[LEA ID]],Calculations!$A$3:$A$159,0)),0)</f>
        <v>12423.218052282871</v>
      </c>
      <c r="I140" s="16"/>
      <c r="J140" s="17"/>
    </row>
    <row r="141" spans="1:10" x14ac:dyDescent="0.3">
      <c r="A141" s="13" t="s">
        <v>219</v>
      </c>
      <c r="B141" s="13" t="s">
        <v>435</v>
      </c>
      <c r="C141" s="14" t="s">
        <v>220</v>
      </c>
      <c r="D141" s="14" t="s">
        <v>272</v>
      </c>
      <c r="E141" s="14" t="s">
        <v>745</v>
      </c>
      <c r="F141" s="15">
        <v>0</v>
      </c>
      <c r="G141" s="16">
        <f>_xlfn.IFNA(INDEX(Calculations!$F$3:$F$159,MATCH(Summary_Table[[#This Row],[LEA ID]],Calculations!$A$3:$A$159,0)),0)</f>
        <v>23218.446824435501</v>
      </c>
      <c r="I141" s="16"/>
      <c r="J141" s="17"/>
    </row>
    <row r="142" spans="1:10" x14ac:dyDescent="0.3">
      <c r="A142" s="13" t="s">
        <v>221</v>
      </c>
      <c r="B142" s="13" t="s">
        <v>436</v>
      </c>
      <c r="C142" s="14" t="s">
        <v>222</v>
      </c>
      <c r="D142" s="14" t="s">
        <v>272</v>
      </c>
      <c r="E142" s="14" t="s">
        <v>745</v>
      </c>
      <c r="F142" s="15">
        <v>0</v>
      </c>
      <c r="G142" s="16">
        <f>_xlfn.IFNA(INDEX(Calculations!$F$3:$F$159,MATCH(Summary_Table[[#This Row],[LEA ID]],Calculations!$A$3:$A$159,0)),0)</f>
        <v>24778.097440242254</v>
      </c>
      <c r="I142" s="16"/>
      <c r="J142" s="17"/>
    </row>
    <row r="143" spans="1:10" x14ac:dyDescent="0.3">
      <c r="A143" s="13" t="s">
        <v>223</v>
      </c>
      <c r="B143" s="13" t="s">
        <v>437</v>
      </c>
      <c r="C143" s="14" t="s">
        <v>224</v>
      </c>
      <c r="D143" s="14" t="s">
        <v>272</v>
      </c>
      <c r="E143" s="14" t="s">
        <v>745</v>
      </c>
      <c r="F143" s="15">
        <v>0</v>
      </c>
      <c r="G143" s="16">
        <f>_xlfn.IFNA(INDEX(Calculations!$F$3:$F$159,MATCH(Summary_Table[[#This Row],[LEA ID]],Calculations!$A$3:$A$159,0)),0)</f>
        <v>27591.584825619142</v>
      </c>
      <c r="I143" s="16"/>
      <c r="J143" s="17"/>
    </row>
    <row r="144" spans="1:10" x14ac:dyDescent="0.3">
      <c r="A144" s="13" t="s">
        <v>225</v>
      </c>
      <c r="B144" s="13" t="s">
        <v>438</v>
      </c>
      <c r="C144" s="14" t="s">
        <v>226</v>
      </c>
      <c r="D144" s="14" t="s">
        <v>272</v>
      </c>
      <c r="E144" s="14" t="s">
        <v>745</v>
      </c>
      <c r="F144" s="15">
        <v>0</v>
      </c>
      <c r="G144" s="16">
        <f>_xlfn.IFNA(INDEX(Calculations!$F$3:$F$159,MATCH(Summary_Table[[#This Row],[LEA ID]],Calculations!$A$3:$A$159,0)),0)</f>
        <v>72362.731914660078</v>
      </c>
      <c r="I144" s="16"/>
      <c r="J144" s="17"/>
    </row>
    <row r="145" spans="1:10" x14ac:dyDescent="0.3">
      <c r="A145" s="13" t="s">
        <v>227</v>
      </c>
      <c r="B145" s="13" t="s">
        <v>439</v>
      </c>
      <c r="C145" s="14" t="s">
        <v>228</v>
      </c>
      <c r="D145" s="14" t="s">
        <v>272</v>
      </c>
      <c r="E145" s="14" t="s">
        <v>745</v>
      </c>
      <c r="F145" s="15">
        <v>0</v>
      </c>
      <c r="G145" s="16">
        <f>_xlfn.IFNA(INDEX(Calculations!$F$3:$F$159,MATCH(Summary_Table[[#This Row],[LEA ID]],Calculations!$A$3:$A$159,0)),0)</f>
        <v>17041.007130455808</v>
      </c>
      <c r="I145" s="16"/>
      <c r="J145" s="17"/>
    </row>
    <row r="146" spans="1:10" x14ac:dyDescent="0.3">
      <c r="A146" s="13" t="s">
        <v>229</v>
      </c>
      <c r="B146" s="13" t="s">
        <v>440</v>
      </c>
      <c r="C146" s="14" t="s">
        <v>230</v>
      </c>
      <c r="D146" s="14" t="s">
        <v>272</v>
      </c>
      <c r="E146" s="14" t="s">
        <v>745</v>
      </c>
      <c r="F146" s="15">
        <v>0</v>
      </c>
      <c r="G146" s="16">
        <f>_xlfn.IFNA(INDEX(Calculations!$F$3:$F$159,MATCH(Summary_Table[[#This Row],[LEA ID]],Calculations!$A$3:$A$159,0)),0)</f>
        <v>12453.799436906535</v>
      </c>
      <c r="I146" s="16"/>
      <c r="J146" s="17"/>
    </row>
    <row r="147" spans="1:10" x14ac:dyDescent="0.3">
      <c r="A147" s="13" t="s">
        <v>231</v>
      </c>
      <c r="B147" s="13" t="s">
        <v>441</v>
      </c>
      <c r="C147" s="14" t="s">
        <v>232</v>
      </c>
      <c r="D147" s="14" t="s">
        <v>272</v>
      </c>
      <c r="E147" s="14" t="s">
        <v>745</v>
      </c>
      <c r="F147" s="15">
        <v>0</v>
      </c>
      <c r="G147" s="16">
        <f>_xlfn.IFNA(INDEX(Calculations!$F$3:$F$159,MATCH(Summary_Table[[#This Row],[LEA ID]],Calculations!$A$3:$A$159,0)),0)</f>
        <v>0</v>
      </c>
      <c r="I147" s="16"/>
      <c r="J147" s="17"/>
    </row>
    <row r="148" spans="1:10" x14ac:dyDescent="0.3">
      <c r="A148" s="13" t="s">
        <v>233</v>
      </c>
      <c r="B148" s="13" t="s">
        <v>442</v>
      </c>
      <c r="C148" s="14" t="s">
        <v>443</v>
      </c>
      <c r="D148" s="14" t="s">
        <v>272</v>
      </c>
      <c r="E148" s="14" t="s">
        <v>745</v>
      </c>
      <c r="F148" s="15">
        <v>0</v>
      </c>
      <c r="G148" s="16">
        <f>_xlfn.IFNA(INDEX(Calculations!$F$3:$F$159,MATCH(Summary_Table[[#This Row],[LEA ID]],Calculations!$A$3:$A$159,0)),0)</f>
        <v>15787.170360885673</v>
      </c>
      <c r="I148" s="16"/>
      <c r="J148" s="17"/>
    </row>
    <row r="149" spans="1:10" x14ac:dyDescent="0.3">
      <c r="A149" s="13" t="s">
        <v>235</v>
      </c>
      <c r="B149" s="13" t="s">
        <v>444</v>
      </c>
      <c r="C149" s="14" t="s">
        <v>236</v>
      </c>
      <c r="D149" s="14" t="s">
        <v>272</v>
      </c>
      <c r="E149" s="14" t="s">
        <v>745</v>
      </c>
      <c r="F149" s="15">
        <v>0</v>
      </c>
      <c r="G149" s="16">
        <f>_xlfn.IFNA(INDEX(Calculations!$F$3:$F$159,MATCH(Summary_Table[[#This Row],[LEA ID]],Calculations!$A$3:$A$159,0)),0)</f>
        <v>21108.331285402834</v>
      </c>
      <c r="I149" s="16"/>
      <c r="J149" s="17"/>
    </row>
    <row r="150" spans="1:10" x14ac:dyDescent="0.3">
      <c r="A150" s="13" t="s">
        <v>237</v>
      </c>
      <c r="B150" s="13" t="s">
        <v>445</v>
      </c>
      <c r="C150" s="14" t="s">
        <v>238</v>
      </c>
      <c r="D150" s="14" t="s">
        <v>272</v>
      </c>
      <c r="E150" s="14" t="s">
        <v>745</v>
      </c>
      <c r="F150" s="15">
        <v>0</v>
      </c>
      <c r="G150" s="16">
        <f>_xlfn.IFNA(INDEX(Calculations!$F$3:$F$159,MATCH(Summary_Table[[#This Row],[LEA ID]],Calculations!$A$3:$A$159,0)),0)</f>
        <v>20680.191900671569</v>
      </c>
      <c r="I150" s="16"/>
      <c r="J150" s="17"/>
    </row>
    <row r="151" spans="1:10" x14ac:dyDescent="0.3">
      <c r="A151" s="13" t="s">
        <v>239</v>
      </c>
      <c r="B151" s="13" t="s">
        <v>446</v>
      </c>
      <c r="C151" s="14" t="s">
        <v>240</v>
      </c>
      <c r="D151" s="14" t="s">
        <v>272</v>
      </c>
      <c r="E151" s="14" t="s">
        <v>745</v>
      </c>
      <c r="F151" s="15">
        <v>0</v>
      </c>
      <c r="G151" s="16">
        <f>_xlfn.IFNA(INDEX(Calculations!$F$3:$F$159,MATCH(Summary_Table[[#This Row],[LEA ID]],Calculations!$A$3:$A$159,0)),0)</f>
        <v>15940.077284003983</v>
      </c>
      <c r="I151" s="16"/>
      <c r="J151" s="17"/>
    </row>
    <row r="152" spans="1:10" x14ac:dyDescent="0.3">
      <c r="A152" s="13" t="s">
        <v>241</v>
      </c>
      <c r="B152" s="13" t="s">
        <v>447</v>
      </c>
      <c r="C152" s="14" t="s">
        <v>242</v>
      </c>
      <c r="D152" s="14" t="s">
        <v>272</v>
      </c>
      <c r="E152" s="14" t="s">
        <v>745</v>
      </c>
      <c r="F152" s="15">
        <v>0</v>
      </c>
      <c r="G152" s="16">
        <f>_xlfn.IFNA(INDEX(Calculations!$F$3:$F$159,MATCH(Summary_Table[[#This Row],[LEA ID]],Calculations!$A$3:$A$159,0)),0)</f>
        <v>19059.378515617489</v>
      </c>
      <c r="I152" s="16"/>
      <c r="J152" s="17"/>
    </row>
    <row r="153" spans="1:10" x14ac:dyDescent="0.3">
      <c r="A153" s="13" t="s">
        <v>243</v>
      </c>
      <c r="B153" s="13" t="s">
        <v>448</v>
      </c>
      <c r="C153" s="14" t="s">
        <v>449</v>
      </c>
      <c r="D153" s="14" t="s">
        <v>272</v>
      </c>
      <c r="E153" s="14" t="s">
        <v>745</v>
      </c>
      <c r="F153" s="15">
        <v>0</v>
      </c>
      <c r="G153" s="16">
        <f>_xlfn.IFNA(INDEX(Calculations!$F$3:$F$159,MATCH(Summary_Table[[#This Row],[LEA ID]],Calculations!$A$3:$A$159,0)),0)</f>
        <v>31720.071749813491</v>
      </c>
      <c r="I153" s="16"/>
      <c r="J153" s="17"/>
    </row>
    <row r="154" spans="1:10" x14ac:dyDescent="0.3">
      <c r="A154" s="13" t="s">
        <v>246</v>
      </c>
      <c r="B154" s="13" t="s">
        <v>450</v>
      </c>
      <c r="C154" s="14" t="s">
        <v>247</v>
      </c>
      <c r="D154" s="14" t="s">
        <v>272</v>
      </c>
      <c r="E154" s="14" t="s">
        <v>745</v>
      </c>
      <c r="F154" s="15">
        <v>0</v>
      </c>
      <c r="G154" s="16">
        <f>_xlfn.IFNA(INDEX(Calculations!$F$3:$F$159,MATCH(Summary_Table[[#This Row],[LEA ID]],Calculations!$A$3:$A$159,0)),0)</f>
        <v>16612.867745724543</v>
      </c>
      <c r="I154" s="16"/>
      <c r="J154" s="17"/>
    </row>
    <row r="155" spans="1:10" x14ac:dyDescent="0.3">
      <c r="A155" s="13" t="s">
        <v>248</v>
      </c>
      <c r="B155" s="13" t="s">
        <v>451</v>
      </c>
      <c r="C155" s="14" t="s">
        <v>249</v>
      </c>
      <c r="D155" s="14" t="s">
        <v>272</v>
      </c>
      <c r="E155" s="14" t="s">
        <v>745</v>
      </c>
      <c r="F155" s="15">
        <v>0</v>
      </c>
      <c r="G155" s="16">
        <f>_xlfn.IFNA(INDEX(Calculations!$F$3:$F$159,MATCH(Summary_Table[[#This Row],[LEA ID]],Calculations!$A$3:$A$159,0)),0)</f>
        <v>22851.470208951559</v>
      </c>
      <c r="I155" s="16"/>
      <c r="J155" s="17"/>
    </row>
    <row r="156" spans="1:10" x14ac:dyDescent="0.3">
      <c r="A156" s="13" t="s">
        <v>250</v>
      </c>
      <c r="B156" s="13" t="s">
        <v>452</v>
      </c>
      <c r="C156" s="14" t="s">
        <v>251</v>
      </c>
      <c r="D156" s="14" t="s">
        <v>272</v>
      </c>
      <c r="E156" s="14" t="s">
        <v>745</v>
      </c>
      <c r="F156" s="15">
        <v>0</v>
      </c>
      <c r="G156" s="16">
        <f>_xlfn.IFNA(INDEX(Calculations!$F$3:$F$159,MATCH(Summary_Table[[#This Row],[LEA ID]],Calculations!$A$3:$A$159,0)),0)</f>
        <v>20802.517439166215</v>
      </c>
      <c r="I156" s="16"/>
      <c r="J156" s="17"/>
    </row>
    <row r="157" spans="1:10" x14ac:dyDescent="0.3">
      <c r="A157" s="13" t="s">
        <v>489</v>
      </c>
      <c r="B157" s="13" t="s">
        <v>493</v>
      </c>
      <c r="C157" s="14" t="s">
        <v>490</v>
      </c>
      <c r="D157" s="14" t="s">
        <v>272</v>
      </c>
      <c r="E157" s="14" t="s">
        <v>745</v>
      </c>
      <c r="F157" s="15">
        <v>0</v>
      </c>
      <c r="G157" s="16">
        <f>_xlfn.IFNA(INDEX(Calculations!$F$3:$F$159,MATCH(Summary_Table[[#This Row],[LEA ID]],Calculations!$A$3:$A$159,0)),0)</f>
        <v>12759.613283143151</v>
      </c>
    </row>
    <row r="158" spans="1:10" x14ac:dyDescent="0.3">
      <c r="A158" s="13" t="s">
        <v>491</v>
      </c>
      <c r="B158" s="13" t="s">
        <v>494</v>
      </c>
      <c r="C158" s="14" t="s">
        <v>492</v>
      </c>
      <c r="D158" s="14" t="s">
        <v>272</v>
      </c>
      <c r="E158" s="14" t="s">
        <v>745</v>
      </c>
      <c r="F158" s="15">
        <v>0</v>
      </c>
      <c r="G158" s="16">
        <f>_xlfn.IFNA(INDEX(Calculations!$F$3:$F$159,MATCH(Summary_Table[[#This Row],[LEA ID]],Calculations!$A$3:$A$159,0)),0)</f>
        <v>0</v>
      </c>
      <c r="I158" s="17"/>
    </row>
    <row r="159" spans="1:10" x14ac:dyDescent="0.3">
      <c r="A159" s="13" t="s">
        <v>495</v>
      </c>
      <c r="B159" s="13" t="s">
        <v>496</v>
      </c>
      <c r="C159" s="14" t="s">
        <v>497</v>
      </c>
      <c r="D159" s="14" t="s">
        <v>272</v>
      </c>
      <c r="E159" s="14" t="s">
        <v>745</v>
      </c>
      <c r="F159" s="15">
        <v>0</v>
      </c>
      <c r="G159" s="16">
        <f>_xlfn.IFNA(INDEX(Calculations!$F$3:$F$159,MATCH(Summary_Table[[#This Row],[LEA ID]],Calculations!$A$3:$A$159,0)),0)</f>
        <v>9854.3817438952774</v>
      </c>
    </row>
    <row r="160" spans="1:10" x14ac:dyDescent="0.3">
      <c r="A160" s="13" t="s">
        <v>498</v>
      </c>
      <c r="B160" s="13" t="s">
        <v>499</v>
      </c>
      <c r="C160" s="14" t="s">
        <v>500</v>
      </c>
      <c r="D160" s="14" t="s">
        <v>272</v>
      </c>
      <c r="E160" s="14" t="s">
        <v>745</v>
      </c>
      <c r="F160" s="15">
        <v>0</v>
      </c>
      <c r="G160" s="16">
        <f>_xlfn.IFNA(INDEX(Calculations!$F$3:$F$159,MATCH(Summary_Table[[#This Row],[LEA ID]],Calculations!$A$3:$A$159,0)),0)</f>
        <v>10007.288667013587</v>
      </c>
    </row>
    <row r="161" spans="1:7" x14ac:dyDescent="0.3">
      <c r="A161" s="13">
        <v>41</v>
      </c>
      <c r="B161" s="13">
        <v>410</v>
      </c>
      <c r="C161" s="14" t="s">
        <v>501</v>
      </c>
      <c r="D161" s="14" t="s">
        <v>453</v>
      </c>
      <c r="E161" s="14" t="s">
        <v>745</v>
      </c>
      <c r="F161" s="15">
        <v>0</v>
      </c>
      <c r="G161" s="16">
        <f>_xlfn.IFNA(INDEX(Calculations!$F$3:$F$159,MATCH(Summary_Table[[#This Row],[LEA ID]],Calculations!$A$3:$A$159,0)),0)</f>
        <v>114858.68892311066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181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2" sqref="I12"/>
    </sheetView>
  </sheetViews>
  <sheetFormatPr defaultColWidth="9.21875" defaultRowHeight="14.4" x14ac:dyDescent="0.3"/>
  <cols>
    <col min="1" max="1" width="6.21875" style="11" bestFit="1" customWidth="1"/>
    <col min="2" max="2" width="42" style="6" bestFit="1" customWidth="1"/>
    <col min="3" max="3" width="16.21875" style="6" customWidth="1"/>
    <col min="4" max="4" width="15.6640625" style="6" customWidth="1"/>
    <col min="5" max="5" width="16.6640625" style="6" bestFit="1" customWidth="1"/>
    <col min="6" max="6" width="15.109375" style="6" bestFit="1" customWidth="1"/>
    <col min="7" max="8" width="9.21875" style="6"/>
    <col min="9" max="9" width="11.21875" style="6" bestFit="1" customWidth="1"/>
    <col min="10" max="10" width="9.21875" style="6"/>
    <col min="11" max="11" width="13.5546875" style="6" customWidth="1"/>
    <col min="12" max="12" width="16.21875" style="6" bestFit="1" customWidth="1"/>
    <col min="13" max="16384" width="9.21875" style="6"/>
  </cols>
  <sheetData>
    <row r="1" spans="1:7" x14ac:dyDescent="0.3">
      <c r="A1" s="67" t="s">
        <v>744</v>
      </c>
      <c r="B1" s="67"/>
      <c r="C1" s="67"/>
      <c r="D1" s="67"/>
      <c r="E1" s="67"/>
      <c r="F1" s="67"/>
    </row>
    <row r="2" spans="1:7" s="19" customFormat="1" ht="28.8" x14ac:dyDescent="0.3">
      <c r="A2" s="41" t="s">
        <v>41</v>
      </c>
      <c r="B2" s="41" t="s">
        <v>488</v>
      </c>
      <c r="C2" s="41" t="s">
        <v>748</v>
      </c>
      <c r="D2" s="42" t="s">
        <v>502</v>
      </c>
      <c r="E2" s="42" t="s">
        <v>749</v>
      </c>
      <c r="F2" s="63" t="s">
        <v>762</v>
      </c>
    </row>
    <row r="3" spans="1:7" x14ac:dyDescent="0.3">
      <c r="A3" s="43">
        <v>1</v>
      </c>
      <c r="B3" s="44" t="s">
        <v>0</v>
      </c>
      <c r="C3" s="43" t="str">
        <f>_xlfn.IFNA(INDEX(FY26_LE_Data_March20[Type],MATCH(Calculations!$A3,FY26_LE_Data_March20[[ID]:[ID]],0)),0)</f>
        <v>District</v>
      </c>
      <c r="D3" s="43" t="s">
        <v>503</v>
      </c>
      <c r="E3" s="58">
        <f>IF(D3="Yes", _xlfn.IFNA(INDEX(FY26_LE_Data_March20[Oct 1, 2025 (CDC) - Grades K-12],MATCH(Calculations!$A3,FY26_LE_Data_March20[[ID]:[ID]],0)),0), _xlfn.IFNA(INDEX(FY26_LE_Data_March20[Oct. 1, 2024 - Grades K-12],MATCH(Calculations!$A3,FY26_LE_Data_March20[[ID]:[ID]],0)),0)+_xlfn.IFNA(INDEX(FY26_LE_Data_March20[Oct. 1, 2024 - SPED Self-Contained],MATCH(Calculations!$A3,FY26_LE_Data_March20[[ID]:[ID]],0)),0))</f>
        <v>86493</v>
      </c>
      <c r="F3" s="1">
        <f>IF(OR(C3="District", "Other"),$E$176+(E3*$E$177),$E$169+(E3*$E$170))</f>
        <v>2753930.9235827066</v>
      </c>
    </row>
    <row r="4" spans="1:7" x14ac:dyDescent="0.3">
      <c r="A4" s="43">
        <f t="shared" ref="A4:A42" si="0">1+A3</f>
        <v>2</v>
      </c>
      <c r="B4" s="44" t="s">
        <v>1</v>
      </c>
      <c r="C4" s="43" t="str">
        <f>_xlfn.IFNA(INDEX(FY26_LE_Data_March20[Type],MATCH(Calculations!$A4,FY26_LE_Data_March20[[ID]:[ID]],0)),0)</f>
        <v>District</v>
      </c>
      <c r="D4" s="43" t="s">
        <v>503</v>
      </c>
      <c r="E4" s="58">
        <f>IF(D4="Yes", _xlfn.IFNA(INDEX(FY26_LE_Data_March20[Oct 1, 2025 (CDC) - Grades K-12],MATCH(Calculations!$A4,FY26_LE_Data_March20[[ID]:[ID]],0)),0), _xlfn.IFNA(INDEX(FY26_LE_Data_March20[Oct. 1, 2024 - Grades K-12],MATCH(Calculations!$A4,FY26_LE_Data_March20[[ID]:[ID]],0)),0)+_xlfn.IFNA(INDEX(FY26_LE_Data_March20[Oct. 1, 2024 - SPED Self-Contained],MATCH(Calculations!$A4,FY26_LE_Data_March20[[ID]:[ID]],0)),0))</f>
        <v>1454</v>
      </c>
      <c r="F4" s="1">
        <f>IF(OR(C4="District", "Other"),$E$176+(E4*$E$177),$E$169+(E4*$E$170))</f>
        <v>153320.55657112767</v>
      </c>
    </row>
    <row r="5" spans="1:7" x14ac:dyDescent="0.3">
      <c r="A5" s="43">
        <f>1+A4</f>
        <v>3</v>
      </c>
      <c r="B5" s="44" t="s">
        <v>2</v>
      </c>
      <c r="C5" s="43" t="str">
        <f>_xlfn.IFNA(INDEX(FY26_LE_Data_March20[Type],MATCH(Calculations!$A5,FY26_LE_Data_March20[[ID]:[ID]],0)),0)</f>
        <v>District</v>
      </c>
      <c r="D5" s="43" t="s">
        <v>503</v>
      </c>
      <c r="E5" s="58">
        <f>IF(D5="Yes", _xlfn.IFNA(INDEX(FY26_LE_Data_March20[Oct 1, 2025 (CDC) - Grades K-12],MATCH(Calculations!$A5,FY26_LE_Data_March20[[ID]:[ID]],0)),0), _xlfn.IFNA(INDEX(FY26_LE_Data_March20[Oct. 1, 2024 - Grades K-12],MATCH(Calculations!$A5,FY26_LE_Data_March20[[ID]:[ID]],0)),0)+_xlfn.IFNA(INDEX(FY26_LE_Data_March20[Oct. 1, 2024 - SPED Self-Contained],MATCH(Calculations!$A5,FY26_LE_Data_March20[[ID]:[ID]],0)),0))</f>
        <v>12471</v>
      </c>
      <c r="F5" s="1">
        <f>IF(OR(C5="District", "Other"),$E$176+(E5*$E$177),$E$169+(E5*$E$170))</f>
        <v>490235.67097001011</v>
      </c>
    </row>
    <row r="6" spans="1:7" x14ac:dyDescent="0.3">
      <c r="A6" s="43">
        <f t="shared" si="0"/>
        <v>4</v>
      </c>
      <c r="B6" s="44" t="s">
        <v>3</v>
      </c>
      <c r="C6" s="43" t="str">
        <f>_xlfn.IFNA(INDEX(FY26_LE_Data_March20[Type],MATCH(Calculations!$A6,FY26_LE_Data_March20[[ID]:[ID]],0)),0)</f>
        <v>District</v>
      </c>
      <c r="D6" s="43" t="s">
        <v>503</v>
      </c>
      <c r="E6" s="58">
        <f>IF(D6="Yes", _xlfn.IFNA(INDEX(FY26_LE_Data_March20[Oct 1, 2025 (CDC) - Grades K-12],MATCH(Calculations!$A6,FY26_LE_Data_March20[[ID]:[ID]],0)),0), _xlfn.IFNA(INDEX(FY26_LE_Data_March20[Oct. 1, 2024 - Grades K-12],MATCH(Calculations!$A6,FY26_LE_Data_March20[[ID]:[ID]],0)),0)+_xlfn.IFNA(INDEX(FY26_LE_Data_March20[Oct. 1, 2024 - SPED Self-Contained],MATCH(Calculations!$A6,FY26_LE_Data_March20[[ID]:[ID]],0)),0))</f>
        <v>20184</v>
      </c>
      <c r="F6" s="1">
        <f>IF(OR(C6="District", "Other"),$E$176+(E6*$E$177),$E$169+(E6*$E$170))</f>
        <v>726109.8905723138</v>
      </c>
      <c r="G6" s="7"/>
    </row>
    <row r="7" spans="1:7" x14ac:dyDescent="0.3">
      <c r="A7" s="43">
        <f t="shared" si="0"/>
        <v>5</v>
      </c>
      <c r="B7" s="44" t="s">
        <v>4</v>
      </c>
      <c r="C7" s="43" t="str">
        <f>_xlfn.IFNA(INDEX(FY26_LE_Data_March20[Type],MATCH(Calculations!$A7,FY26_LE_Data_March20[[ID]:[ID]],0)),0)</f>
        <v>District</v>
      </c>
      <c r="D7" s="43" t="s">
        <v>503</v>
      </c>
      <c r="E7" s="58">
        <f>IF(D7="Yes", _xlfn.IFNA(INDEX(FY26_LE_Data_March20[Oct 1, 2025 (CDC) - Grades K-12],MATCH(Calculations!$A7,FY26_LE_Data_March20[[ID]:[ID]],0)),0), _xlfn.IFNA(INDEX(FY26_LE_Data_March20[Oct. 1, 2024 - Grades K-12],MATCH(Calculations!$A7,FY26_LE_Data_March20[[ID]:[ID]],0)),0)+_xlfn.IFNA(INDEX(FY26_LE_Data_March20[Oct. 1, 2024 - SPED Self-Contained],MATCH(Calculations!$A7,FY26_LE_Data_March20[[ID]:[ID]],0)),0))</f>
        <v>3225</v>
      </c>
      <c r="F7" s="1">
        <f t="shared" ref="F7:F38" si="1">IF(OR(C7="District",C7="Other"),$E$176+(E7*$E$177),$E$169+(E7*$E$170))</f>
        <v>207480.18873963278</v>
      </c>
      <c r="G7" s="7"/>
    </row>
    <row r="8" spans="1:7" x14ac:dyDescent="0.3">
      <c r="A8" s="43">
        <f t="shared" si="0"/>
        <v>6</v>
      </c>
      <c r="B8" s="44" t="s">
        <v>5</v>
      </c>
      <c r="C8" s="43" t="str">
        <f>_xlfn.IFNA(INDEX(FY26_LE_Data_March20[Type],MATCH(Calculations!$A8,FY26_LE_Data_March20[[ID]:[ID]],0)),0)</f>
        <v>District</v>
      </c>
      <c r="D8" s="43" t="s">
        <v>503</v>
      </c>
      <c r="E8" s="58">
        <f>IF(D8="Yes", _xlfn.IFNA(INDEX(FY26_LE_Data_March20[Oct 1, 2025 (CDC) - Grades K-12],MATCH(Calculations!$A8,FY26_LE_Data_March20[[ID]:[ID]],0)),0), _xlfn.IFNA(INDEX(FY26_LE_Data_March20[Oct. 1, 2024 - Grades K-12],MATCH(Calculations!$A8,FY26_LE_Data_March20[[ID]:[ID]],0)),0)+_xlfn.IFNA(INDEX(FY26_LE_Data_March20[Oct. 1, 2024 - SPED Self-Contained],MATCH(Calculations!$A8,FY26_LE_Data_March20[[ID]:[ID]],0)),0))</f>
        <v>162</v>
      </c>
      <c r="F8" s="1">
        <f t="shared" si="1"/>
        <v>113809.40763735658</v>
      </c>
      <c r="G8" s="7"/>
    </row>
    <row r="9" spans="1:7" x14ac:dyDescent="0.3">
      <c r="A9" s="43">
        <f t="shared" si="0"/>
        <v>7</v>
      </c>
      <c r="B9" s="44" t="s">
        <v>6</v>
      </c>
      <c r="C9" s="43" t="str">
        <f>_xlfn.IFNA(INDEX(FY26_LE_Data_March20[Type],MATCH(Calculations!$A9,FY26_LE_Data_March20[[ID]:[ID]],0)),0)</f>
        <v>District</v>
      </c>
      <c r="D9" s="43" t="s">
        <v>503</v>
      </c>
      <c r="E9" s="58">
        <f>IF(D9="Yes", _xlfn.IFNA(INDEX(FY26_LE_Data_March20[Oct 1, 2025 (CDC) - Grades K-12],MATCH(Calculations!$A9,FY26_LE_Data_March20[[ID]:[ID]],0)),0), _xlfn.IFNA(INDEX(FY26_LE_Data_March20[Oct. 1, 2024 - Grades K-12],MATCH(Calculations!$A9,FY26_LE_Data_March20[[ID]:[ID]],0)),0)+_xlfn.IFNA(INDEX(FY26_LE_Data_March20[Oct. 1, 2024 - SPED Self-Contained],MATCH(Calculations!$A9,FY26_LE_Data_March20[[ID]:[ID]],0)),0))</f>
        <v>70499</v>
      </c>
      <c r="F9" s="1">
        <f t="shared" si="1"/>
        <v>2264812.2579118595</v>
      </c>
      <c r="G9" s="7"/>
    </row>
    <row r="10" spans="1:7" x14ac:dyDescent="0.3">
      <c r="A10" s="43">
        <f t="shared" si="0"/>
        <v>8</v>
      </c>
      <c r="B10" s="44" t="s">
        <v>7</v>
      </c>
      <c r="C10" s="43" t="str">
        <f>_xlfn.IFNA(INDEX(FY26_LE_Data_March20[Type],MATCH(Calculations!$A10,FY26_LE_Data_March20[[ID]:[ID]],0)),0)</f>
        <v>District</v>
      </c>
      <c r="D10" s="43" t="s">
        <v>503</v>
      </c>
      <c r="E10" s="58">
        <f>IF(D10="Yes", _xlfn.IFNA(INDEX(FY26_LE_Data_March20[Oct 1, 2025 (CDC) - Grades K-12],MATCH(Calculations!$A10,FY26_LE_Data_March20[[ID]:[ID]],0)),0), _xlfn.IFNA(INDEX(FY26_LE_Data_March20[Oct. 1, 2024 - Grades K-12],MATCH(Calculations!$A10,FY26_LE_Data_March20[[ID]:[ID]],0)),0)+_xlfn.IFNA(INDEX(FY26_LE_Data_March20[Oct. 1, 2024 - SPED Self-Contained],MATCH(Calculations!$A10,FY26_LE_Data_March20[[ID]:[ID]],0)),0))</f>
        <v>5224</v>
      </c>
      <c r="F10" s="1">
        <f t="shared" si="1"/>
        <v>268612.37660233281</v>
      </c>
      <c r="G10" s="7"/>
    </row>
    <row r="11" spans="1:7" x14ac:dyDescent="0.3">
      <c r="A11" s="43">
        <f t="shared" si="0"/>
        <v>9</v>
      </c>
      <c r="B11" s="44" t="s">
        <v>8</v>
      </c>
      <c r="C11" s="43" t="str">
        <f>_xlfn.IFNA(INDEX(FY26_LE_Data_March20[Type],MATCH(Calculations!$A11,FY26_LE_Data_March20[[ID]:[ID]],0)),0)</f>
        <v>District</v>
      </c>
      <c r="D11" s="43" t="s">
        <v>503</v>
      </c>
      <c r="E11" s="58">
        <f>IF(D11="Yes", _xlfn.IFNA(INDEX(FY26_LE_Data_March20[Oct 1, 2025 (CDC) - Grades K-12],MATCH(Calculations!$A11,FY26_LE_Data_March20[[ID]:[ID]],0)),0), _xlfn.IFNA(INDEX(FY26_LE_Data_March20[Oct. 1, 2024 - Grades K-12],MATCH(Calculations!$A11,FY26_LE_Data_March20[[ID]:[ID]],0)),0)+_xlfn.IFNA(INDEX(FY26_LE_Data_March20[Oct. 1, 2024 - SPED Self-Contained],MATCH(Calculations!$A11,FY26_LE_Data_March20[[ID]:[ID]],0)),0))</f>
        <v>2006</v>
      </c>
      <c r="F11" s="1">
        <f t="shared" si="1"/>
        <v>170201.48088338901</v>
      </c>
      <c r="G11" s="7"/>
    </row>
    <row r="12" spans="1:7" x14ac:dyDescent="0.3">
      <c r="A12" s="43">
        <f t="shared" si="0"/>
        <v>10</v>
      </c>
      <c r="B12" s="44" t="s">
        <v>9</v>
      </c>
      <c r="C12" s="43" t="str">
        <f>_xlfn.IFNA(INDEX(FY26_LE_Data_March20[Type],MATCH(Calculations!$A12,FY26_LE_Data_March20[[ID]:[ID]],0)),0)</f>
        <v>District</v>
      </c>
      <c r="D12" s="43" t="s">
        <v>503</v>
      </c>
      <c r="E12" s="58">
        <f>IF(D12="Yes", _xlfn.IFNA(INDEX(FY26_LE_Data_March20[Oct 1, 2025 (CDC) - Grades K-12],MATCH(Calculations!$A12,FY26_LE_Data_March20[[ID]:[ID]],0)),0), _xlfn.IFNA(INDEX(FY26_LE_Data_March20[Oct. 1, 2024 - Grades K-12],MATCH(Calculations!$A12,FY26_LE_Data_March20[[ID]:[ID]],0)),0)+_xlfn.IFNA(INDEX(FY26_LE_Data_March20[Oct. 1, 2024 - SPED Self-Contained],MATCH(Calculations!$A12,FY26_LE_Data_March20[[ID]:[ID]],0)),0))</f>
        <v>1570</v>
      </c>
      <c r="F12" s="1">
        <f t="shared" si="1"/>
        <v>156867.99718747244</v>
      </c>
      <c r="G12" s="7"/>
    </row>
    <row r="13" spans="1:7" x14ac:dyDescent="0.3">
      <c r="A13" s="43">
        <f t="shared" si="0"/>
        <v>11</v>
      </c>
      <c r="B13" s="44" t="s">
        <v>10</v>
      </c>
      <c r="C13" s="43" t="str">
        <f>_xlfn.IFNA(INDEX(FY26_LE_Data_March20[Type],MATCH(Calculations!$A13,FY26_LE_Data_March20[[ID]:[ID]],0)),0)</f>
        <v>District</v>
      </c>
      <c r="D13" s="43" t="s">
        <v>503</v>
      </c>
      <c r="E13" s="58">
        <f>IF(D13="Yes", _xlfn.IFNA(INDEX(FY26_LE_Data_March20[Oct 1, 2025 (CDC) - Grades K-12],MATCH(Calculations!$A13,FY26_LE_Data_March20[[ID]:[ID]],0)),0), _xlfn.IFNA(INDEX(FY26_LE_Data_March20[Oct. 1, 2024 - Grades K-12],MATCH(Calculations!$A13,FY26_LE_Data_March20[[ID]:[ID]],0)),0)+_xlfn.IFNA(INDEX(FY26_LE_Data_March20[Oct. 1, 2024 - SPED Self-Contained],MATCH(Calculations!$A13,FY26_LE_Data_March20[[ID]:[ID]],0)),0))</f>
        <v>1393</v>
      </c>
      <c r="F13" s="1">
        <f t="shared" si="1"/>
        <v>151455.0921090843</v>
      </c>
      <c r="G13" s="7"/>
    </row>
    <row r="14" spans="1:7" x14ac:dyDescent="0.3">
      <c r="A14" s="43">
        <f t="shared" si="0"/>
        <v>12</v>
      </c>
      <c r="B14" s="44" t="s">
        <v>11</v>
      </c>
      <c r="C14" s="43" t="str">
        <f>_xlfn.IFNA(INDEX(FY26_LE_Data_March20[Type],MATCH(Calculations!$A14,FY26_LE_Data_March20[[ID]:[ID]],0)),0)</f>
        <v>District</v>
      </c>
      <c r="D14" s="43" t="s">
        <v>503</v>
      </c>
      <c r="E14" s="58">
        <f>IF(D14="Yes", _xlfn.IFNA(INDEX(FY26_LE_Data_March20[Oct 1, 2025 (CDC) - Grades K-12],MATCH(Calculations!$A14,FY26_LE_Data_March20[[ID]:[ID]],0)),0), _xlfn.IFNA(INDEX(FY26_LE_Data_March20[Oct. 1, 2024 - Grades K-12],MATCH(Calculations!$A14,FY26_LE_Data_March20[[ID]:[ID]],0)),0)+_xlfn.IFNA(INDEX(FY26_LE_Data_March20[Oct. 1, 2024 - SPED Self-Contained],MATCH(Calculations!$A14,FY26_LE_Data_March20[[ID]:[ID]],0)),0))</f>
        <v>58349</v>
      </c>
      <c r="F14" s="1">
        <f t="shared" si="1"/>
        <v>1893248.4347343678</v>
      </c>
      <c r="G14" s="7"/>
    </row>
    <row r="15" spans="1:7" x14ac:dyDescent="0.3">
      <c r="A15" s="43">
        <f t="shared" si="0"/>
        <v>13</v>
      </c>
      <c r="B15" s="44" t="s">
        <v>12</v>
      </c>
      <c r="C15" s="43" t="str">
        <f>_xlfn.IFNA(INDEX(FY26_LE_Data_March20[Type],MATCH(Calculations!$A15,FY26_LE_Data_March20[[ID]:[ID]],0)),0)</f>
        <v>District</v>
      </c>
      <c r="D15" s="43" t="s">
        <v>503</v>
      </c>
      <c r="E15" s="58">
        <f>IF(D15="Yes", _xlfn.IFNA(INDEX(FY26_LE_Data_March20[Oct 1, 2025 (CDC) - Grades K-12],MATCH(Calculations!$A15,FY26_LE_Data_March20[[ID]:[ID]],0)),0), _xlfn.IFNA(INDEX(FY26_LE_Data_March20[Oct. 1, 2024 - Grades K-12],MATCH(Calculations!$A15,FY26_LE_Data_March20[[ID]:[ID]],0)),0)+_xlfn.IFNA(INDEX(FY26_LE_Data_March20[Oct. 1, 2024 - SPED Self-Contained],MATCH(Calculations!$A15,FY26_LE_Data_March20[[ID]:[ID]],0)),0))</f>
        <v>14045</v>
      </c>
      <c r="F15" s="1">
        <f t="shared" si="1"/>
        <v>538370.77036765381</v>
      </c>
      <c r="G15" s="7"/>
    </row>
    <row r="16" spans="1:7" x14ac:dyDescent="0.3">
      <c r="A16" s="43">
        <f t="shared" si="0"/>
        <v>14</v>
      </c>
      <c r="B16" s="44" t="s">
        <v>13</v>
      </c>
      <c r="C16" s="43" t="str">
        <f>_xlfn.IFNA(INDEX(FY26_LE_Data_March20[Type],MATCH(Calculations!$A16,FY26_LE_Data_March20[[ID]:[ID]],0)),0)</f>
        <v>District</v>
      </c>
      <c r="D16" s="43" t="s">
        <v>503</v>
      </c>
      <c r="E16" s="58">
        <f>IF(D16="Yes", _xlfn.IFNA(INDEX(FY26_LE_Data_March20[Oct 1, 2025 (CDC) - Grades K-12],MATCH(Calculations!$A16,FY26_LE_Data_March20[[ID]:[ID]],0)),0), _xlfn.IFNA(INDEX(FY26_LE_Data_March20[Oct. 1, 2024 - Grades K-12],MATCH(Calculations!$A16,FY26_LE_Data_March20[[ID]:[ID]],0)),0)+_xlfn.IFNA(INDEX(FY26_LE_Data_March20[Oct. 1, 2024 - SPED Self-Contained],MATCH(Calculations!$A16,FY26_LE_Data_March20[[ID]:[ID]],0)),0))</f>
        <v>58423</v>
      </c>
      <c r="F16" s="1">
        <f t="shared" si="1"/>
        <v>1895511.4571965188</v>
      </c>
      <c r="G16" s="7"/>
    </row>
    <row r="17" spans="1:7" x14ac:dyDescent="0.3">
      <c r="A17" s="43">
        <f t="shared" si="0"/>
        <v>15</v>
      </c>
      <c r="B17" s="44" t="s">
        <v>14</v>
      </c>
      <c r="C17" s="43" t="str">
        <f>_xlfn.IFNA(INDEX(FY26_LE_Data_March20[Type],MATCH(Calculations!$A17,FY26_LE_Data_March20[[ID]:[ID]],0)),0)</f>
        <v>District</v>
      </c>
      <c r="D17" s="43" t="s">
        <v>503</v>
      </c>
      <c r="E17" s="58">
        <f>IF(D17="Yes", _xlfn.IFNA(INDEX(FY26_LE_Data_March20[Oct 1, 2025 (CDC) - Grades K-12],MATCH(Calculations!$A17,FY26_LE_Data_March20[[ID]:[ID]],0)),0), _xlfn.IFNA(INDEX(FY26_LE_Data_March20[Oct. 1, 2024 - Grades K-12],MATCH(Calculations!$A17,FY26_LE_Data_March20[[ID]:[ID]],0)),0)+_xlfn.IFNA(INDEX(FY26_LE_Data_March20[Oct. 1, 2024 - SPED Self-Contained],MATCH(Calculations!$A17,FY26_LE_Data_March20[[ID]:[ID]],0)),0))</f>
        <v>2742</v>
      </c>
      <c r="F17" s="1">
        <f t="shared" si="1"/>
        <v>192709.37996640411</v>
      </c>
      <c r="G17" s="7"/>
    </row>
    <row r="18" spans="1:7" x14ac:dyDescent="0.3">
      <c r="A18" s="43">
        <f t="shared" si="0"/>
        <v>16</v>
      </c>
      <c r="B18" s="44" t="s">
        <v>15</v>
      </c>
      <c r="C18" s="43" t="str">
        <f>_xlfn.IFNA(INDEX(FY26_LE_Data_March20[Type],MATCH(Calculations!$A18,FY26_LE_Data_March20[[ID]:[ID]],0)),0)</f>
        <v>District</v>
      </c>
      <c r="D18" s="43" t="s">
        <v>503</v>
      </c>
      <c r="E18" s="58">
        <f>IF(D18="Yes", _xlfn.IFNA(INDEX(FY26_LE_Data_March20[Oct 1, 2025 (CDC) - Grades K-12],MATCH(Calculations!$A18,FY26_LE_Data_March20[[ID]:[ID]],0)),0), _xlfn.IFNA(INDEX(FY26_LE_Data_March20[Oct. 1, 2024 - Grades K-12],MATCH(Calculations!$A18,FY26_LE_Data_March20[[ID]:[ID]],0)),0)+_xlfn.IFNA(INDEX(FY26_LE_Data_March20[Oct. 1, 2024 - SPED Self-Contained],MATCH(Calculations!$A18,FY26_LE_Data_March20[[ID]:[ID]],0)),0))</f>
        <v>1424</v>
      </c>
      <c r="F18" s="1">
        <f t="shared" si="1"/>
        <v>152403.11503241782</v>
      </c>
      <c r="G18" s="7"/>
    </row>
    <row r="19" spans="1:7" x14ac:dyDescent="0.3">
      <c r="A19" s="43">
        <f t="shared" si="0"/>
        <v>17</v>
      </c>
      <c r="B19" s="44" t="s">
        <v>16</v>
      </c>
      <c r="C19" s="43" t="str">
        <f>_xlfn.IFNA(INDEX(FY26_LE_Data_March20[Type],MATCH(Calculations!$A19,FY26_LE_Data_March20[[ID]:[ID]],0)),0)</f>
        <v>District</v>
      </c>
      <c r="D19" s="43" t="s">
        <v>503</v>
      </c>
      <c r="E19" s="58">
        <f>IF(D19="Yes", _xlfn.IFNA(INDEX(FY26_LE_Data_March20[Oct 1, 2025 (CDC) - Grades K-12],MATCH(Calculations!$A19,FY26_LE_Data_March20[[ID]:[ID]],0)),0), _xlfn.IFNA(INDEX(FY26_LE_Data_March20[Oct. 1, 2024 - Grades K-12],MATCH(Calculations!$A19,FY26_LE_Data_March20[[ID]:[ID]],0)),0)+_xlfn.IFNA(INDEX(FY26_LE_Data_March20[Oct. 1, 2024 - SPED Self-Contained],MATCH(Calculations!$A19,FY26_LE_Data_March20[[ID]:[ID]],0)),0))</f>
        <v>3099</v>
      </c>
      <c r="F19" s="1">
        <f t="shared" si="1"/>
        <v>203626.93427705139</v>
      </c>
      <c r="G19" s="7"/>
    </row>
    <row r="20" spans="1:7" x14ac:dyDescent="0.3">
      <c r="A20" s="43">
        <f t="shared" si="0"/>
        <v>18</v>
      </c>
      <c r="B20" s="44" t="s">
        <v>17</v>
      </c>
      <c r="C20" s="43" t="str">
        <f>_xlfn.IFNA(INDEX(FY26_LE_Data_March20[Type],MATCH(Calculations!$A20,FY26_LE_Data_March20[[ID]:[ID]],0)),0)</f>
        <v>District</v>
      </c>
      <c r="D20" s="43" t="s">
        <v>503</v>
      </c>
      <c r="E20" s="58">
        <f>IF(D20="Yes", _xlfn.IFNA(INDEX(FY26_LE_Data_March20[Oct 1, 2025 (CDC) - Grades K-12],MATCH(Calculations!$A20,FY26_LE_Data_March20[[ID]:[ID]],0)),0), _xlfn.IFNA(INDEX(FY26_LE_Data_March20[Oct. 1, 2024 - Grades K-12],MATCH(Calculations!$A20,FY26_LE_Data_March20[[ID]:[ID]],0)),0)+_xlfn.IFNA(INDEX(FY26_LE_Data_March20[Oct. 1, 2024 - SPED Self-Contained],MATCH(Calculations!$A20,FY26_LE_Data_March20[[ID]:[ID]],0)),0))</f>
        <v>3138</v>
      </c>
      <c r="F20" s="1">
        <f t="shared" si="1"/>
        <v>204819.60827737421</v>
      </c>
      <c r="G20" s="7"/>
    </row>
    <row r="21" spans="1:7" x14ac:dyDescent="0.3">
      <c r="A21" s="43">
        <f t="shared" si="0"/>
        <v>19</v>
      </c>
      <c r="B21" s="44" t="s">
        <v>18</v>
      </c>
      <c r="C21" s="43" t="str">
        <f>_xlfn.IFNA(INDEX(FY26_LE_Data_March20[Type],MATCH(Calculations!$A21,FY26_LE_Data_March20[[ID]:[ID]],0)),0)</f>
        <v>District</v>
      </c>
      <c r="D21" s="43" t="s">
        <v>503</v>
      </c>
      <c r="E21" s="58">
        <f>IF(D21="Yes", _xlfn.IFNA(INDEX(FY26_LE_Data_March20[Oct 1, 2025 (CDC) - Grades K-12],MATCH(Calculations!$A21,FY26_LE_Data_March20[[ID]:[ID]],0)),0), _xlfn.IFNA(INDEX(FY26_LE_Data_March20[Oct. 1, 2024 - Grades K-12],MATCH(Calculations!$A21,FY26_LE_Data_March20[[ID]:[ID]],0)),0)+_xlfn.IFNA(INDEX(FY26_LE_Data_March20[Oct. 1, 2024 - SPED Self-Contained],MATCH(Calculations!$A21,FY26_LE_Data_March20[[ID]:[ID]],0)),0))</f>
        <v>43782</v>
      </c>
      <c r="F21" s="1">
        <f t="shared" si="1"/>
        <v>1447769.4049214858</v>
      </c>
      <c r="G21" s="7"/>
    </row>
    <row r="22" spans="1:7" x14ac:dyDescent="0.3">
      <c r="A22" s="43">
        <f t="shared" si="0"/>
        <v>20</v>
      </c>
      <c r="B22" s="44" t="s">
        <v>19</v>
      </c>
      <c r="C22" s="43" t="str">
        <f>_xlfn.IFNA(INDEX(FY26_LE_Data_March20[Type],MATCH(Calculations!$A22,FY26_LE_Data_March20[[ID]:[ID]],0)),0)</f>
        <v>District</v>
      </c>
      <c r="D22" s="43" t="s">
        <v>503</v>
      </c>
      <c r="E22" s="58">
        <f>IF(D22="Yes", _xlfn.IFNA(INDEX(FY26_LE_Data_March20[Oct 1, 2025 (CDC) - Grades K-12],MATCH(Calculations!$A22,FY26_LE_Data_March20[[ID]:[ID]],0)),0), _xlfn.IFNA(INDEX(FY26_LE_Data_March20[Oct. 1, 2024 - Grades K-12],MATCH(Calculations!$A22,FY26_LE_Data_March20[[ID]:[ID]],0)),0)+_xlfn.IFNA(INDEX(FY26_LE_Data_March20[Oct. 1, 2024 - SPED Self-Contained],MATCH(Calculations!$A22,FY26_LE_Data_March20[[ID]:[ID]],0)),0))</f>
        <v>2517</v>
      </c>
      <c r="F22" s="1">
        <f t="shared" si="1"/>
        <v>185828.56842608022</v>
      </c>
      <c r="G22" s="7"/>
    </row>
    <row r="23" spans="1:7" x14ac:dyDescent="0.3">
      <c r="A23" s="43">
        <f t="shared" si="0"/>
        <v>21</v>
      </c>
      <c r="B23" s="44" t="s">
        <v>20</v>
      </c>
      <c r="C23" s="43" t="str">
        <f>_xlfn.IFNA(INDEX(FY26_LE_Data_March20[Type],MATCH(Calculations!$A23,FY26_LE_Data_March20[[ID]:[ID]],0)),0)</f>
        <v>District</v>
      </c>
      <c r="D23" s="43" t="s">
        <v>503</v>
      </c>
      <c r="E23" s="58">
        <f>IF(D23="Yes", _xlfn.IFNA(INDEX(FY26_LE_Data_March20[Oct 1, 2025 (CDC) - Grades K-12],MATCH(Calculations!$A23,FY26_LE_Data_March20[[ID]:[ID]],0)),0), _xlfn.IFNA(INDEX(FY26_LE_Data_March20[Oct. 1, 2024 - Grades K-12],MATCH(Calculations!$A23,FY26_LE_Data_March20[[ID]:[ID]],0)),0)+_xlfn.IFNA(INDEX(FY26_LE_Data_March20[Oct. 1, 2024 - SPED Self-Contained],MATCH(Calculations!$A23,FY26_LE_Data_March20[[ID]:[ID]],0)),0))</f>
        <v>1049</v>
      </c>
      <c r="F23" s="1">
        <f t="shared" si="1"/>
        <v>140935.09579854464</v>
      </c>
      <c r="G23" s="7"/>
    </row>
    <row r="24" spans="1:7" x14ac:dyDescent="0.3">
      <c r="A24" s="43">
        <f t="shared" si="0"/>
        <v>22</v>
      </c>
      <c r="B24" s="44" t="s">
        <v>21</v>
      </c>
      <c r="C24" s="43" t="str">
        <f>_xlfn.IFNA(INDEX(FY26_LE_Data_March20[Type],MATCH(Calculations!$A24,FY26_LE_Data_March20[[ID]:[ID]],0)),0)</f>
        <v>District</v>
      </c>
      <c r="D24" s="43" t="s">
        <v>503</v>
      </c>
      <c r="E24" s="58">
        <f>IF(D24="Yes", _xlfn.IFNA(INDEX(FY26_LE_Data_March20[Oct 1, 2025 (CDC) - Grades K-12],MATCH(Calculations!$A24,FY26_LE_Data_March20[[ID]:[ID]],0)),0), _xlfn.IFNA(INDEX(FY26_LE_Data_March20[Oct. 1, 2024 - Grades K-12],MATCH(Calculations!$A24,FY26_LE_Data_March20[[ID]:[ID]],0)),0)+_xlfn.IFNA(INDEX(FY26_LE_Data_March20[Oct. 1, 2024 - SPED Self-Contained],MATCH(Calculations!$A24,FY26_LE_Data_March20[[ID]:[ID]],0)),0))</f>
        <v>4172</v>
      </c>
      <c r="F24" s="1">
        <f t="shared" si="1"/>
        <v>236440.75997824053</v>
      </c>
      <c r="G24" s="7"/>
    </row>
    <row r="25" spans="1:7" x14ac:dyDescent="0.3">
      <c r="A25" s="43">
        <f t="shared" si="0"/>
        <v>23</v>
      </c>
      <c r="B25" s="44" t="s">
        <v>22</v>
      </c>
      <c r="C25" s="43" t="str">
        <f>_xlfn.IFNA(INDEX(FY26_LE_Data_March20[Type],MATCH(Calculations!$A25,FY26_LE_Data_March20[[ID]:[ID]],0)),0)</f>
        <v>District</v>
      </c>
      <c r="D25" s="43" t="s">
        <v>503</v>
      </c>
      <c r="E25" s="58">
        <f>IF(D25="Yes", _xlfn.IFNA(INDEX(FY26_LE_Data_March20[Oct 1, 2025 (CDC) - Grades K-12],MATCH(Calculations!$A25,FY26_LE_Data_March20[[ID]:[ID]],0)),0), _xlfn.IFNA(INDEX(FY26_LE_Data_March20[Oct. 1, 2024 - Grades K-12],MATCH(Calculations!$A25,FY26_LE_Data_March20[[ID]:[ID]],0)),0)+_xlfn.IFNA(INDEX(FY26_LE_Data_March20[Oct. 1, 2024 - SPED Self-Contained],MATCH(Calculations!$A25,FY26_LE_Data_March20[[ID]:[ID]],0)),0))</f>
        <v>433</v>
      </c>
      <c r="F25" s="1">
        <f t="shared" si="1"/>
        <v>122096.96287036894</v>
      </c>
      <c r="G25" s="7"/>
    </row>
    <row r="26" spans="1:7" x14ac:dyDescent="0.3">
      <c r="A26" s="43">
        <f t="shared" si="0"/>
        <v>24</v>
      </c>
      <c r="B26" s="44" t="s">
        <v>23</v>
      </c>
      <c r="C26" s="43" t="str">
        <f>_xlfn.IFNA(INDEX(FY26_LE_Data_March20[Type],MATCH(Calculations!$A26,FY26_LE_Data_March20[[ID]:[ID]],0)),0)</f>
        <v>District</v>
      </c>
      <c r="D26" s="43" t="s">
        <v>503</v>
      </c>
      <c r="E26" s="58">
        <f>IF(D26="Yes", _xlfn.IFNA(INDEX(FY26_LE_Data_March20[Oct 1, 2025 (CDC) - Grades K-12],MATCH(Calculations!$A26,FY26_LE_Data_March20[[ID]:[ID]],0)),0), _xlfn.IFNA(INDEX(FY26_LE_Data_March20[Oct. 1, 2024 - Grades K-12],MATCH(Calculations!$A26,FY26_LE_Data_March20[[ID]:[ID]],0)),0)+_xlfn.IFNA(INDEX(FY26_LE_Data_March20[Oct. 1, 2024 - SPED Self-Contained],MATCH(Calculations!$A26,FY26_LE_Data_March20[[ID]:[ID]],0)),0))</f>
        <v>505</v>
      </c>
      <c r="F26" s="1">
        <f t="shared" si="1"/>
        <v>124298.8225632726</v>
      </c>
      <c r="G26" s="7"/>
    </row>
    <row r="27" spans="1:7" x14ac:dyDescent="0.3">
      <c r="A27" s="43">
        <f t="shared" si="0"/>
        <v>25</v>
      </c>
      <c r="B27" s="44" t="s">
        <v>24</v>
      </c>
      <c r="C27" s="43" t="str">
        <f>_xlfn.IFNA(INDEX(FY26_LE_Data_March20[Type],MATCH(Calculations!$A27,FY26_LE_Data_March20[[ID]:[ID]],0)),0)</f>
        <v>District</v>
      </c>
      <c r="D27" s="43" t="s">
        <v>503</v>
      </c>
      <c r="E27" s="58">
        <f>IF(D27="Yes", _xlfn.IFNA(INDEX(FY26_LE_Data_March20[Oct 1, 2025 (CDC) - Grades K-12],MATCH(Calculations!$A27,FY26_LE_Data_March20[[ID]:[ID]],0)),0), _xlfn.IFNA(INDEX(FY26_LE_Data_March20[Oct. 1, 2024 - Grades K-12],MATCH(Calculations!$A27,FY26_LE_Data_March20[[ID]:[ID]],0)),0)+_xlfn.IFNA(INDEX(FY26_LE_Data_March20[Oct. 1, 2024 - SPED Self-Contained],MATCH(Calculations!$A27,FY26_LE_Data_March20[[ID]:[ID]],0)),0))</f>
        <v>2807</v>
      </c>
      <c r="F27" s="1">
        <f t="shared" si="1"/>
        <v>194697.16996694214</v>
      </c>
      <c r="G27" s="7"/>
    </row>
    <row r="28" spans="1:7" x14ac:dyDescent="0.3">
      <c r="A28" s="43">
        <f t="shared" si="0"/>
        <v>26</v>
      </c>
      <c r="B28" s="44" t="s">
        <v>25</v>
      </c>
      <c r="C28" s="43" t="str">
        <f>_xlfn.IFNA(INDEX(FY26_LE_Data_March20[Type],MATCH(Calculations!$A28,FY26_LE_Data_March20[[ID]:[ID]],0)),0)</f>
        <v>District</v>
      </c>
      <c r="D28" s="43" t="s">
        <v>503</v>
      </c>
      <c r="E28" s="58">
        <f>IF(D28="Yes", _xlfn.IFNA(INDEX(FY26_LE_Data_March20[Oct 1, 2025 (CDC) - Grades K-12],MATCH(Calculations!$A28,FY26_LE_Data_March20[[ID]:[ID]],0)),0), _xlfn.IFNA(INDEX(FY26_LE_Data_March20[Oct. 1, 2024 - Grades K-12],MATCH(Calculations!$A28,FY26_LE_Data_March20[[ID]:[ID]],0)),0)+_xlfn.IFNA(INDEX(FY26_LE_Data_March20[Oct. 1, 2024 - SPED Self-Contained],MATCH(Calculations!$A28,FY26_LE_Data_March20[[ID]:[ID]],0)),0))</f>
        <v>4495</v>
      </c>
      <c r="F28" s="1">
        <f t="shared" si="1"/>
        <v>246318.54721168333</v>
      </c>
      <c r="G28" s="7"/>
    </row>
    <row r="29" spans="1:7" x14ac:dyDescent="0.3">
      <c r="A29" s="43">
        <f t="shared" si="0"/>
        <v>27</v>
      </c>
      <c r="B29" s="44" t="s">
        <v>26</v>
      </c>
      <c r="C29" s="43" t="str">
        <f>_xlfn.IFNA(INDEX(FY26_LE_Data_March20[Type],MATCH(Calculations!$A29,FY26_LE_Data_March20[[ID]:[ID]],0)),0)</f>
        <v>District</v>
      </c>
      <c r="D29" s="43" t="s">
        <v>503</v>
      </c>
      <c r="E29" s="58">
        <f>IF(D29="Yes", _xlfn.IFNA(INDEX(FY26_LE_Data_March20[Oct 1, 2025 (CDC) - Grades K-12],MATCH(Calculations!$A29,FY26_LE_Data_March20[[ID]:[ID]],0)),0), _xlfn.IFNA(INDEX(FY26_LE_Data_March20[Oct. 1, 2024 - Grades K-12],MATCH(Calculations!$A29,FY26_LE_Data_March20[[ID]:[ID]],0)),0)+_xlfn.IFNA(INDEX(FY26_LE_Data_March20[Oct. 1, 2024 - SPED Self-Contained],MATCH(Calculations!$A29,FY26_LE_Data_March20[[ID]:[ID]],0)),0))</f>
        <v>3209</v>
      </c>
      <c r="F29" s="1">
        <f t="shared" si="1"/>
        <v>206990.8865856542</v>
      </c>
      <c r="G29" s="7"/>
    </row>
    <row r="30" spans="1:7" x14ac:dyDescent="0.3">
      <c r="A30" s="43">
        <f t="shared" si="0"/>
        <v>28</v>
      </c>
      <c r="B30" s="44" t="s">
        <v>27</v>
      </c>
      <c r="C30" s="43" t="str">
        <f>_xlfn.IFNA(INDEX(FY26_LE_Data_March20[Type],MATCH(Calculations!$A30,FY26_LE_Data_March20[[ID]:[ID]],0)),0)</f>
        <v>District</v>
      </c>
      <c r="D30" s="43" t="s">
        <v>503</v>
      </c>
      <c r="E30" s="58">
        <f>IF(D30="Yes", _xlfn.IFNA(INDEX(FY26_LE_Data_March20[Oct 1, 2025 (CDC) - Grades K-12],MATCH(Calculations!$A30,FY26_LE_Data_March20[[ID]:[ID]],0)),0), _xlfn.IFNA(INDEX(FY26_LE_Data_March20[Oct. 1, 2024 - Grades K-12],MATCH(Calculations!$A30,FY26_LE_Data_March20[[ID]:[ID]],0)),0)+_xlfn.IFNA(INDEX(FY26_LE_Data_March20[Oct. 1, 2024 - SPED Self-Contained],MATCH(Calculations!$A30,FY26_LE_Data_March20[[ID]:[ID]],0)),0))</f>
        <v>1586</v>
      </c>
      <c r="F30" s="1">
        <f t="shared" si="1"/>
        <v>157357.29934145103</v>
      </c>
      <c r="G30" s="7"/>
    </row>
    <row r="31" spans="1:7" x14ac:dyDescent="0.3">
      <c r="A31" s="43">
        <f t="shared" si="0"/>
        <v>29</v>
      </c>
      <c r="B31" s="44" t="s">
        <v>28</v>
      </c>
      <c r="C31" s="43" t="str">
        <f>_xlfn.IFNA(INDEX(FY26_LE_Data_March20[Type],MATCH(Calculations!$A31,FY26_LE_Data_March20[[ID]:[ID]],0)),0)</f>
        <v>District</v>
      </c>
      <c r="D31" s="43" t="s">
        <v>503</v>
      </c>
      <c r="E31" s="58">
        <f>IF(D31="Yes", _xlfn.IFNA(INDEX(FY26_LE_Data_March20[Oct 1, 2025 (CDC) - Grades K-12],MATCH(Calculations!$A31,FY26_LE_Data_March20[[ID]:[ID]],0)),0), _xlfn.IFNA(INDEX(FY26_LE_Data_March20[Oct. 1, 2024 - Grades K-12],MATCH(Calculations!$A31,FY26_LE_Data_March20[[ID]:[ID]],0)),0)+_xlfn.IFNA(INDEX(FY26_LE_Data_March20[Oct. 1, 2024 - SPED Self-Contained],MATCH(Calculations!$A31,FY26_LE_Data_March20[[ID]:[ID]],0)),0))</f>
        <v>264</v>
      </c>
      <c r="F31" s="1">
        <f t="shared" si="1"/>
        <v>116928.70886897009</v>
      </c>
      <c r="G31" s="7"/>
    </row>
    <row r="32" spans="1:7" x14ac:dyDescent="0.3">
      <c r="A32" s="43">
        <f t="shared" si="0"/>
        <v>30</v>
      </c>
      <c r="B32" s="44" t="s">
        <v>29</v>
      </c>
      <c r="C32" s="43" t="str">
        <f>_xlfn.IFNA(INDEX(FY26_LE_Data_March20[Type],MATCH(Calculations!$A32,FY26_LE_Data_March20[[ID]:[ID]],0)),0)</f>
        <v>District</v>
      </c>
      <c r="D32" s="43" t="s">
        <v>503</v>
      </c>
      <c r="E32" s="58">
        <f>IF(D32="Yes", _xlfn.IFNA(INDEX(FY26_LE_Data_March20[Oct 1, 2025 (CDC) - Grades K-12],MATCH(Calculations!$A32,FY26_LE_Data_March20[[ID]:[ID]],0)),0), _xlfn.IFNA(INDEX(FY26_LE_Data_March20[Oct. 1, 2024 - Grades K-12],MATCH(Calculations!$A32,FY26_LE_Data_March20[[ID]:[ID]],0)),0)+_xlfn.IFNA(INDEX(FY26_LE_Data_March20[Oct. 1, 2024 - SPED Self-Contained],MATCH(Calculations!$A32,FY26_LE_Data_March20[[ID]:[ID]],0)),0))</f>
        <v>15911</v>
      </c>
      <c r="F32" s="1">
        <f t="shared" si="1"/>
        <v>595435.63407540682</v>
      </c>
      <c r="G32" s="7"/>
    </row>
    <row r="33" spans="1:7" x14ac:dyDescent="0.3">
      <c r="A33" s="43">
        <f t="shared" si="0"/>
        <v>31</v>
      </c>
      <c r="B33" s="44" t="s">
        <v>30</v>
      </c>
      <c r="C33" s="43" t="str">
        <f>_xlfn.IFNA(INDEX(FY26_LE_Data_March20[Type],MATCH(Calculations!$A33,FY26_LE_Data_March20[[ID]:[ID]],0)),0)</f>
        <v>District</v>
      </c>
      <c r="D33" s="43" t="s">
        <v>503</v>
      </c>
      <c r="E33" s="58">
        <f>IF(D33="Yes", _xlfn.IFNA(INDEX(FY26_LE_Data_March20[Oct 1, 2025 (CDC) - Grades K-12],MATCH(Calculations!$A33,FY26_LE_Data_March20[[ID]:[ID]],0)),0), _xlfn.IFNA(INDEX(FY26_LE_Data_March20[Oct. 1, 2024 - Grades K-12],MATCH(Calculations!$A33,FY26_LE_Data_March20[[ID]:[ID]],0)),0)+_xlfn.IFNA(INDEX(FY26_LE_Data_March20[Oct. 1, 2024 - SPED Self-Contained],MATCH(Calculations!$A33,FY26_LE_Data_March20[[ID]:[ID]],0)),0))</f>
        <v>6644</v>
      </c>
      <c r="F33" s="1">
        <f t="shared" si="1"/>
        <v>312037.9427679326</v>
      </c>
      <c r="G33" s="7"/>
    </row>
    <row r="34" spans="1:7" x14ac:dyDescent="0.3">
      <c r="A34" s="43">
        <f t="shared" si="0"/>
        <v>32</v>
      </c>
      <c r="B34" s="44" t="s">
        <v>31</v>
      </c>
      <c r="C34" s="43" t="str">
        <f>_xlfn.IFNA(INDEX(FY26_LE_Data_March20[Type],MATCH(Calculations!$A34,FY26_LE_Data_March20[[ID]:[ID]],0)),0)</f>
        <v>District</v>
      </c>
      <c r="D34" s="43" t="s">
        <v>503</v>
      </c>
      <c r="E34" s="58">
        <f>IF(D34="Yes", _xlfn.IFNA(INDEX(FY26_LE_Data_March20[Oct 1, 2025 (CDC) - Grades K-12],MATCH(Calculations!$A34,FY26_LE_Data_March20[[ID]:[ID]],0)),0), _xlfn.IFNA(INDEX(FY26_LE_Data_March20[Oct. 1, 2024 - Grades K-12],MATCH(Calculations!$A34,FY26_LE_Data_March20[[ID]:[ID]],0)),0)+_xlfn.IFNA(INDEX(FY26_LE_Data_March20[Oct. 1, 2024 - SPED Self-Contained],MATCH(Calculations!$A34,FY26_LE_Data_March20[[ID]:[ID]],0)),0))</f>
        <v>8549</v>
      </c>
      <c r="F34" s="1">
        <f t="shared" si="1"/>
        <v>370295.48047600838</v>
      </c>
      <c r="G34" s="7"/>
    </row>
    <row r="35" spans="1:7" x14ac:dyDescent="0.3">
      <c r="A35" s="43">
        <f t="shared" si="0"/>
        <v>33</v>
      </c>
      <c r="B35" s="44" t="s">
        <v>32</v>
      </c>
      <c r="C35" s="43" t="str">
        <f>_xlfn.IFNA(INDEX(FY26_LE_Data_March20[Type],MATCH(Calculations!$A35,FY26_LE_Data_March20[[ID]:[ID]],0)),0)</f>
        <v>District</v>
      </c>
      <c r="D35" s="43" t="s">
        <v>503</v>
      </c>
      <c r="E35" s="58">
        <f>IF(D35="Yes", _xlfn.IFNA(INDEX(FY26_LE_Data_March20[Oct 1, 2025 (CDC) - Grades K-12],MATCH(Calculations!$A35,FY26_LE_Data_March20[[ID]:[ID]],0)),0), _xlfn.IFNA(INDEX(FY26_LE_Data_March20[Oct. 1, 2024 - Grades K-12],MATCH(Calculations!$A35,FY26_LE_Data_March20[[ID]:[ID]],0)),0)+_xlfn.IFNA(INDEX(FY26_LE_Data_March20[Oct. 1, 2024 - SPED Self-Contained],MATCH(Calculations!$A35,FY26_LE_Data_March20[[ID]:[ID]],0)),0))</f>
        <v>36471</v>
      </c>
      <c r="F35" s="1">
        <f t="shared" si="1"/>
        <v>1224188.9019378943</v>
      </c>
      <c r="G35" s="7"/>
    </row>
    <row r="36" spans="1:7" x14ac:dyDescent="0.3">
      <c r="A36" s="43">
        <f t="shared" si="0"/>
        <v>34</v>
      </c>
      <c r="B36" s="44" t="s">
        <v>33</v>
      </c>
      <c r="C36" s="43" t="str">
        <f>_xlfn.IFNA(INDEX(FY26_LE_Data_March20[Type],MATCH(Calculations!$A36,FY26_LE_Data_March20[[ID]:[ID]],0)),0)</f>
        <v>District</v>
      </c>
      <c r="D36" s="43" t="s">
        <v>503</v>
      </c>
      <c r="E36" s="58">
        <f>IF(D36="Yes", _xlfn.IFNA(INDEX(FY26_LE_Data_March20[Oct 1, 2025 (CDC) - Grades K-12],MATCH(Calculations!$A36,FY26_LE_Data_March20[[ID]:[ID]],0)),0), _xlfn.IFNA(INDEX(FY26_LE_Data_March20[Oct. 1, 2024 - Grades K-12],MATCH(Calculations!$A36,FY26_LE_Data_March20[[ID]:[ID]],0)),0)+_xlfn.IFNA(INDEX(FY26_LE_Data_March20[Oct. 1, 2024 - SPED Self-Contained],MATCH(Calculations!$A36,FY26_LE_Data_March20[[ID]:[ID]],0)),0))</f>
        <v>422</v>
      </c>
      <c r="F36" s="1">
        <f t="shared" si="1"/>
        <v>121760.56763950866</v>
      </c>
      <c r="G36" s="7"/>
    </row>
    <row r="37" spans="1:7" x14ac:dyDescent="0.3">
      <c r="A37" s="43">
        <f t="shared" si="0"/>
        <v>35</v>
      </c>
      <c r="B37" s="44" t="s">
        <v>34</v>
      </c>
      <c r="C37" s="43" t="str">
        <f>_xlfn.IFNA(INDEX(FY26_LE_Data_March20[Type],MATCH(Calculations!$A37,FY26_LE_Data_March20[[ID]:[ID]],0)),0)</f>
        <v>District</v>
      </c>
      <c r="D37" s="43" t="s">
        <v>503</v>
      </c>
      <c r="E37" s="58">
        <f>IF(D37="Yes", _xlfn.IFNA(INDEX(FY26_LE_Data_March20[Oct 1, 2025 (CDC) - Grades K-12],MATCH(Calculations!$A37,FY26_LE_Data_March20[[ID]:[ID]],0)),0), _xlfn.IFNA(INDEX(FY26_LE_Data_March20[Oct. 1, 2024 - Grades K-12],MATCH(Calculations!$A37,FY26_LE_Data_March20[[ID]:[ID]],0)),0)+_xlfn.IFNA(INDEX(FY26_LE_Data_March20[Oct. 1, 2024 - SPED Self-Contained],MATCH(Calculations!$A37,FY26_LE_Data_March20[[ID]:[ID]],0)),0))</f>
        <v>32222</v>
      </c>
      <c r="F37" s="1">
        <f t="shared" si="1"/>
        <v>1094248.5986719551</v>
      </c>
      <c r="G37" s="7"/>
    </row>
    <row r="38" spans="1:7" x14ac:dyDescent="0.3">
      <c r="A38" s="43">
        <f t="shared" si="0"/>
        <v>36</v>
      </c>
      <c r="B38" s="44" t="s">
        <v>35</v>
      </c>
      <c r="C38" s="43" t="str">
        <f>_xlfn.IFNA(INDEX(FY26_LE_Data_March20[Type],MATCH(Calculations!$A38,FY26_LE_Data_March20[[ID]:[ID]],0)),0)</f>
        <v>District</v>
      </c>
      <c r="D38" s="43" t="s">
        <v>503</v>
      </c>
      <c r="E38" s="58">
        <f>IF(D38="Yes", _xlfn.IFNA(INDEX(FY26_LE_Data_March20[Oct 1, 2025 (CDC) - Grades K-12],MATCH(Calculations!$A38,FY26_LE_Data_March20[[ID]:[ID]],0)),0), _xlfn.IFNA(INDEX(FY26_LE_Data_March20[Oct. 1, 2024 - Grades K-12],MATCH(Calculations!$A38,FY26_LE_Data_March20[[ID]:[ID]],0)),0)+_xlfn.IFNA(INDEX(FY26_LE_Data_March20[Oct. 1, 2024 - SPED Self-Contained],MATCH(Calculations!$A38,FY26_LE_Data_March20[[ID]:[ID]],0)),0))</f>
        <v>19116</v>
      </c>
      <c r="F38" s="1">
        <f t="shared" si="1"/>
        <v>693448.97179424297</v>
      </c>
      <c r="G38" s="7"/>
    </row>
    <row r="39" spans="1:7" x14ac:dyDescent="0.3">
      <c r="A39" s="43">
        <f t="shared" si="0"/>
        <v>37</v>
      </c>
      <c r="B39" s="44" t="s">
        <v>36</v>
      </c>
      <c r="C39" s="43" t="str">
        <f>_xlfn.IFNA(INDEX(FY26_LE_Data_March20[Type],MATCH(Calculations!$A39,FY26_LE_Data_March20[[ID]:[ID]],0)),0)</f>
        <v>District</v>
      </c>
      <c r="D39" s="43" t="s">
        <v>503</v>
      </c>
      <c r="E39" s="58">
        <f>IF(D39="Yes", _xlfn.IFNA(INDEX(FY26_LE_Data_March20[Oct 1, 2025 (CDC) - Grades K-12],MATCH(Calculations!$A39,FY26_LE_Data_March20[[ID]:[ID]],0)),0), _xlfn.IFNA(INDEX(FY26_LE_Data_March20[Oct. 1, 2024 - Grades K-12],MATCH(Calculations!$A39,FY26_LE_Data_March20[[ID]:[ID]],0)),0)+_xlfn.IFNA(INDEX(FY26_LE_Data_March20[Oct. 1, 2024 - SPED Self-Contained],MATCH(Calculations!$A39,FY26_LE_Data_March20[[ID]:[ID]],0)),0))</f>
        <v>10351</v>
      </c>
      <c r="F39" s="1">
        <f t="shared" ref="F39:F70" si="2">IF(OR(C39="District",C39="Other"),$E$176+(E39*$E$177),$E$169+(E39*$E$170))</f>
        <v>425403.13556784706</v>
      </c>
      <c r="G39" s="7"/>
    </row>
    <row r="40" spans="1:7" x14ac:dyDescent="0.3">
      <c r="A40" s="43">
        <f t="shared" si="0"/>
        <v>38</v>
      </c>
      <c r="B40" s="44" t="s">
        <v>37</v>
      </c>
      <c r="C40" s="43" t="str">
        <f>_xlfn.IFNA(INDEX(FY26_LE_Data_March20[Type],MATCH(Calculations!$A40,FY26_LE_Data_March20[[ID]:[ID]],0)),0)</f>
        <v>District</v>
      </c>
      <c r="D40" s="43" t="s">
        <v>503</v>
      </c>
      <c r="E40" s="58">
        <f>IF(D40="Yes", _xlfn.IFNA(INDEX(FY26_LE_Data_March20[Oct 1, 2025 (CDC) - Grades K-12],MATCH(Calculations!$A40,FY26_LE_Data_March20[[ID]:[ID]],0)),0), _xlfn.IFNA(INDEX(FY26_LE_Data_March20[Oct. 1, 2024 - Grades K-12],MATCH(Calculations!$A40,FY26_LE_Data_March20[[ID]:[ID]],0)),0)+_xlfn.IFNA(INDEX(FY26_LE_Data_March20[Oct. 1, 2024 - SPED Self-Contained],MATCH(Calculations!$A40,FY26_LE_Data_March20[[ID]:[ID]],0)),0))</f>
        <v>13745</v>
      </c>
      <c r="F40" s="1">
        <f t="shared" si="2"/>
        <v>529196.35498055536</v>
      </c>
      <c r="G40" s="7"/>
    </row>
    <row r="41" spans="1:7" x14ac:dyDescent="0.3">
      <c r="A41" s="43">
        <f t="shared" si="0"/>
        <v>39</v>
      </c>
      <c r="B41" s="44" t="s">
        <v>38</v>
      </c>
      <c r="C41" s="43" t="str">
        <f>_xlfn.IFNA(INDEX(FY26_LE_Data_March20[Type],MATCH(Calculations!$A41,FY26_LE_Data_March20[[ID]:[ID]],0)),0)</f>
        <v>District</v>
      </c>
      <c r="D41" s="43" t="s">
        <v>503</v>
      </c>
      <c r="E41" s="58">
        <f>IF(D41="Yes", _xlfn.IFNA(INDEX(FY26_LE_Data_March20[Oct 1, 2025 (CDC) - Grades K-12],MATCH(Calculations!$A41,FY26_LE_Data_March20[[ID]:[ID]],0)),0), _xlfn.IFNA(INDEX(FY26_LE_Data_March20[Oct. 1, 2024 - Grades K-12],MATCH(Calculations!$A41,FY26_LE_Data_March20[[ID]:[ID]],0)),0)+_xlfn.IFNA(INDEX(FY26_LE_Data_March20[Oct. 1, 2024 - SPED Self-Contained],MATCH(Calculations!$A41,FY26_LE_Data_March20[[ID]:[ID]],0)),0))</f>
        <v>5158</v>
      </c>
      <c r="F41" s="1">
        <f t="shared" si="2"/>
        <v>266594.00521717116</v>
      </c>
      <c r="G41" s="7"/>
    </row>
    <row r="42" spans="1:7" x14ac:dyDescent="0.3">
      <c r="A42" s="43">
        <f t="shared" si="0"/>
        <v>40</v>
      </c>
      <c r="B42" s="44" t="s">
        <v>39</v>
      </c>
      <c r="C42" s="43" t="str">
        <f>_xlfn.IFNA(INDEX(FY26_LE_Data_March20[Type],MATCH(Calculations!$A42,FY26_LE_Data_March20[[ID]:[ID]],0)),0)</f>
        <v>District</v>
      </c>
      <c r="D42" s="43" t="s">
        <v>503</v>
      </c>
      <c r="E42" s="58">
        <f>IF(D42="Yes", _xlfn.IFNA(INDEX(FY26_LE_Data_March20[Oct 1, 2025 (CDC) - Grades K-12],MATCH(Calculations!$A42,FY26_LE_Data_March20[[ID]:[ID]],0)),0), _xlfn.IFNA(INDEX(FY26_LE_Data_March20[Oct. 1, 2024 - Grades K-12],MATCH(Calculations!$A42,FY26_LE_Data_March20[[ID]:[ID]],0)),0)+_xlfn.IFNA(INDEX(FY26_LE_Data_March20[Oct. 1, 2024 - SPED Self-Contained],MATCH(Calculations!$A42,FY26_LE_Data_March20[[ID]:[ID]],0)),0))</f>
        <v>5610</v>
      </c>
      <c r="F42" s="1">
        <f t="shared" si="2"/>
        <v>280416.79106706625</v>
      </c>
      <c r="G42" s="7"/>
    </row>
    <row r="43" spans="1:7" x14ac:dyDescent="0.3">
      <c r="A43" s="43">
        <v>42</v>
      </c>
      <c r="B43" s="44" t="s">
        <v>40</v>
      </c>
      <c r="C43" s="43" t="str">
        <f>_xlfn.IFNA(INDEX(FY26_LE_Data_March20[Type],MATCH(Calculations!$A43,FY26_LE_Data_March20[[ID]:[ID]],0)),0)</f>
        <v>District</v>
      </c>
      <c r="D43" s="43" t="s">
        <v>503</v>
      </c>
      <c r="E43" s="58">
        <f>IF(D43="Yes", _xlfn.IFNA(INDEX(FY26_LE_Data_March20[Oct 1, 2025 (CDC) - Grades K-12],MATCH(Calculations!$A43,FY26_LE_Data_March20[[ID]:[ID]],0)),0), _xlfn.IFNA(INDEX(FY26_LE_Data_March20[Oct. 1, 2024 - Grades K-12],MATCH(Calculations!$A43,FY26_LE_Data_March20[[ID]:[ID]],0)),0)+_xlfn.IFNA(INDEX(FY26_LE_Data_March20[Oct. 1, 2024 - SPED Self-Contained],MATCH(Calculations!$A43,FY26_LE_Data_March20[[ID]:[ID]],0)),0))</f>
        <v>32885</v>
      </c>
      <c r="F43" s="1">
        <f t="shared" si="2"/>
        <v>1114524.056677443</v>
      </c>
      <c r="G43" s="7"/>
    </row>
    <row r="44" spans="1:7" x14ac:dyDescent="0.3">
      <c r="A44" s="45">
        <v>68</v>
      </c>
      <c r="B44" s="46" t="s">
        <v>42</v>
      </c>
      <c r="C44" s="43" t="str">
        <f>_xlfn.IFNA(INDEX(FY26_LE_Data_March20[Type],MATCH(Calculations!$A44,FY26_LE_Data_March20[[ID]:[ID]],0)),0)</f>
        <v>Charter</v>
      </c>
      <c r="D44" s="43" t="s">
        <v>503</v>
      </c>
      <c r="E44" s="58">
        <f>IF(D44="Yes", _xlfn.IFNA(INDEX(FY26_LE_Data_March20[Oct 1, 2025 (CDC) - Grades K-12],MATCH(Calculations!$A44,FY26_LE_Data_March20[[ID]:[ID]],0)),0), _xlfn.IFNA(INDEX(FY26_LE_Data_March20[Oct. 1, 2024 - Grades K-12],MATCH(Calculations!$A44,FY26_LE_Data_March20[[ID]:[ID]],0)),0)+_xlfn.IFNA(INDEX(FY26_LE_Data_March20[Oct. 1, 2024 - SPED Self-Contained],MATCH(Calculations!$A44,FY26_LE_Data_March20[[ID]:[ID]],0)),0))</f>
        <v>1013</v>
      </c>
      <c r="F44" s="1">
        <f t="shared" si="2"/>
        <v>36551.930520352063</v>
      </c>
      <c r="G44" s="7"/>
    </row>
    <row r="45" spans="1:7" x14ac:dyDescent="0.3">
      <c r="A45" s="45">
        <v>74</v>
      </c>
      <c r="B45" s="46" t="s">
        <v>43</v>
      </c>
      <c r="C45" s="43" t="str">
        <f>_xlfn.IFNA(INDEX(FY26_LE_Data_March20[Type],MATCH(Calculations!$A45,FY26_LE_Data_March20[[ID]:[ID]],0)),0)</f>
        <v>Charter</v>
      </c>
      <c r="D45" s="43" t="s">
        <v>503</v>
      </c>
      <c r="E45" s="58">
        <f>IF(D45="Yes", _xlfn.IFNA(INDEX(FY26_LE_Data_March20[Oct 1, 2025 (CDC) - Grades K-12],MATCH(Calculations!$A45,FY26_LE_Data_March20[[ID]:[ID]],0)),0), _xlfn.IFNA(INDEX(FY26_LE_Data_March20[Oct. 1, 2024 - Grades K-12],MATCH(Calculations!$A45,FY26_LE_Data_March20[[ID]:[ID]],0)),0)+_xlfn.IFNA(INDEX(FY26_LE_Data_March20[Oct. 1, 2024 - SPED Self-Contained],MATCH(Calculations!$A45,FY26_LE_Data_March20[[ID]:[ID]],0)),0))</f>
        <v>5412</v>
      </c>
      <c r="F45" s="1">
        <f t="shared" si="2"/>
        <v>171079.44147984046</v>
      </c>
      <c r="G45" s="7"/>
    </row>
    <row r="46" spans="1:7" x14ac:dyDescent="0.3">
      <c r="A46" s="45">
        <v>81</v>
      </c>
      <c r="B46" s="46" t="s">
        <v>44</v>
      </c>
      <c r="C46" s="43" t="str">
        <f>_xlfn.IFNA(INDEX(FY26_LE_Data_March20[Type],MATCH(Calculations!$A46,FY26_LE_Data_March20[[ID]:[ID]],0)),0)</f>
        <v>Charter</v>
      </c>
      <c r="D46" s="43" t="s">
        <v>503</v>
      </c>
      <c r="E46" s="58">
        <f>IF(D46="Yes", _xlfn.IFNA(INDEX(FY26_LE_Data_March20[Oct 1, 2025 (CDC) - Grades K-12],MATCH(Calculations!$A46,FY26_LE_Data_March20[[ID]:[ID]],0)),0), _xlfn.IFNA(INDEX(FY26_LE_Data_March20[Oct. 1, 2024 - Grades K-12],MATCH(Calculations!$A46,FY26_LE_Data_March20[[ID]:[ID]],0)),0)+_xlfn.IFNA(INDEX(FY26_LE_Data_March20[Oct. 1, 2024 - SPED Self-Contained],MATCH(Calculations!$A46,FY26_LE_Data_March20[[ID]:[ID]],0)),0))</f>
        <v>391</v>
      </c>
      <c r="F46" s="1">
        <f t="shared" si="2"/>
        <v>17530.309284434399</v>
      </c>
      <c r="G46" s="7"/>
    </row>
    <row r="47" spans="1:7" x14ac:dyDescent="0.3">
      <c r="A47" s="45">
        <v>82</v>
      </c>
      <c r="B47" s="46" t="s">
        <v>45</v>
      </c>
      <c r="C47" s="43" t="str">
        <f>_xlfn.IFNA(INDEX(FY26_LE_Data_March20[Type],MATCH(Calculations!$A47,FY26_LE_Data_March20[[ID]:[ID]],0)),0)</f>
        <v>Charter</v>
      </c>
      <c r="D47" s="43" t="s">
        <v>503</v>
      </c>
      <c r="E47" s="58">
        <f>IF(D47="Yes", _xlfn.IFNA(INDEX(FY26_LE_Data_March20[Oct 1, 2025 (CDC) - Grades K-12],MATCH(Calculations!$A47,FY26_LE_Data_March20[[ID]:[ID]],0)),0), _xlfn.IFNA(INDEX(FY26_LE_Data_March20[Oct. 1, 2024 - Grades K-12],MATCH(Calculations!$A47,FY26_LE_Data_March20[[ID]:[ID]],0)),0)+_xlfn.IFNA(INDEX(FY26_LE_Data_March20[Oct. 1, 2024 - SPED Self-Contained],MATCH(Calculations!$A47,FY26_LE_Data_March20[[ID]:[ID]],0)),0))</f>
        <v>2161</v>
      </c>
      <c r="F47" s="1">
        <f t="shared" si="2"/>
        <v>71659.360068315844</v>
      </c>
      <c r="G47" s="7"/>
    </row>
    <row r="48" spans="1:7" x14ac:dyDescent="0.3">
      <c r="A48" s="45">
        <v>83</v>
      </c>
      <c r="B48" s="46" t="s">
        <v>46</v>
      </c>
      <c r="C48" s="43" t="str">
        <f>_xlfn.IFNA(INDEX(FY26_LE_Data_March20[Type],MATCH(Calculations!$A48,FY26_LE_Data_March20[[ID]:[ID]],0)),0)</f>
        <v>Charter</v>
      </c>
      <c r="D48" s="43" t="s">
        <v>503</v>
      </c>
      <c r="E48" s="58">
        <f>IF(D48="Yes", _xlfn.IFNA(INDEX(FY26_LE_Data_March20[Oct 1, 2025 (CDC) - Grades K-12],MATCH(Calculations!$A48,FY26_LE_Data_March20[[ID]:[ID]],0)),0), _xlfn.IFNA(INDEX(FY26_LE_Data_March20[Oct. 1, 2024 - Grades K-12],MATCH(Calculations!$A48,FY26_LE_Data_March20[[ID]:[ID]],0)),0)+_xlfn.IFNA(INDEX(FY26_LE_Data_March20[Oct. 1, 2024 - SPED Self-Contained],MATCH(Calculations!$A48,FY26_LE_Data_March20[[ID]:[ID]],0)),0))</f>
        <v>459</v>
      </c>
      <c r="F48" s="1">
        <f t="shared" si="2"/>
        <v>19609.843438843403</v>
      </c>
      <c r="G48" s="7"/>
    </row>
    <row r="49" spans="1:7" x14ac:dyDescent="0.3">
      <c r="A49" s="45">
        <v>86</v>
      </c>
      <c r="B49" s="46" t="s">
        <v>47</v>
      </c>
      <c r="C49" s="43" t="str">
        <f>_xlfn.IFNA(INDEX(FY26_LE_Data_March20[Type],MATCH(Calculations!$A49,FY26_LE_Data_March20[[ID]:[ID]],0)),0)</f>
        <v>Charter</v>
      </c>
      <c r="D49" s="43" t="s">
        <v>503</v>
      </c>
      <c r="E49" s="58">
        <f>IF(D49="Yes", _xlfn.IFNA(INDEX(FY26_LE_Data_March20[Oct 1, 2025 (CDC) - Grades K-12],MATCH(Calculations!$A49,FY26_LE_Data_March20[[ID]:[ID]],0)),0), _xlfn.IFNA(INDEX(FY26_LE_Data_March20[Oct. 1, 2024 - Grades K-12],MATCH(Calculations!$A49,FY26_LE_Data_March20[[ID]:[ID]],0)),0)+_xlfn.IFNA(INDEX(FY26_LE_Data_March20[Oct. 1, 2024 - SPED Self-Contained],MATCH(Calculations!$A49,FY26_LE_Data_March20[[ID]:[ID]],0)),0))</f>
        <v>384</v>
      </c>
      <c r="F49" s="1">
        <f t="shared" si="2"/>
        <v>17316.239592068767</v>
      </c>
      <c r="G49" s="7"/>
    </row>
    <row r="50" spans="1:7" x14ac:dyDescent="0.3">
      <c r="A50" s="45">
        <v>87</v>
      </c>
      <c r="B50" s="46" t="s">
        <v>48</v>
      </c>
      <c r="C50" s="43" t="str">
        <f>_xlfn.IFNA(INDEX(FY26_LE_Data_March20[Type],MATCH(Calculations!$A50,FY26_LE_Data_March20[[ID]:[ID]],0)),0)</f>
        <v>Charter</v>
      </c>
      <c r="D50" s="43" t="s">
        <v>503</v>
      </c>
      <c r="E50" s="58">
        <f>IF(D50="Yes", _xlfn.IFNA(INDEX(FY26_LE_Data_March20[Oct 1, 2025 (CDC) - Grades K-12],MATCH(Calculations!$A50,FY26_LE_Data_March20[[ID]:[ID]],0)),0), _xlfn.IFNA(INDEX(FY26_LE_Data_March20[Oct. 1, 2024 - Grades K-12],MATCH(Calculations!$A50,FY26_LE_Data_March20[[ID]:[ID]],0)),0)+_xlfn.IFNA(INDEX(FY26_LE_Data_March20[Oct. 1, 2024 - SPED Self-Contained],MATCH(Calculations!$A50,FY26_LE_Data_March20[[ID]:[ID]],0)),0))</f>
        <v>93</v>
      </c>
      <c r="F50" s="1">
        <f t="shared" si="2"/>
        <v>8417.056666583172</v>
      </c>
      <c r="G50" s="7"/>
    </row>
    <row r="51" spans="1:7" x14ac:dyDescent="0.3">
      <c r="A51" s="45">
        <v>89</v>
      </c>
      <c r="B51" s="46" t="s">
        <v>49</v>
      </c>
      <c r="C51" s="43" t="str">
        <f>_xlfn.IFNA(INDEX(FY26_LE_Data_March20[Type],MATCH(Calculations!$A51,FY26_LE_Data_March20[[ID]:[ID]],0)),0)</f>
        <v>Charter</v>
      </c>
      <c r="D51" s="43" t="s">
        <v>503</v>
      </c>
      <c r="E51" s="58">
        <f>IF(D51="Yes", _xlfn.IFNA(INDEX(FY26_LE_Data_March20[Oct 1, 2025 (CDC) - Grades K-12],MATCH(Calculations!$A51,FY26_LE_Data_March20[[ID]:[ID]],0)),0), _xlfn.IFNA(INDEX(FY26_LE_Data_March20[Oct. 1, 2024 - Grades K-12],MATCH(Calculations!$A51,FY26_LE_Data_March20[[ID]:[ID]],0)),0)+_xlfn.IFNA(INDEX(FY26_LE_Data_March20[Oct. 1, 2024 - SPED Self-Contained],MATCH(Calculations!$A51,FY26_LE_Data_March20[[ID]:[ID]],0)),0))</f>
        <v>330</v>
      </c>
      <c r="F51" s="1">
        <f t="shared" si="2"/>
        <v>15664.844822391027</v>
      </c>
      <c r="G51" s="7"/>
    </row>
    <row r="52" spans="1:7" x14ac:dyDescent="0.3">
      <c r="A52" s="45">
        <v>91</v>
      </c>
      <c r="B52" s="46" t="s">
        <v>252</v>
      </c>
      <c r="C52" s="43" t="str">
        <f>_xlfn.IFNA(INDEX(FY26_LE_Data_March20[Type],MATCH(Calculations!$A52,FY26_LE_Data_March20[[ID]:[ID]],0)),0)</f>
        <v>Charter</v>
      </c>
      <c r="D52" s="43" t="s">
        <v>503</v>
      </c>
      <c r="E52" s="58">
        <f>IF(D52="Yes", _xlfn.IFNA(INDEX(FY26_LE_Data_March20[Oct 1, 2025 (CDC) - Grades K-12],MATCH(Calculations!$A52,FY26_LE_Data_March20[[ID]:[ID]],0)),0), _xlfn.IFNA(INDEX(FY26_LE_Data_March20[Oct. 1, 2024 - Grades K-12],MATCH(Calculations!$A52,FY26_LE_Data_March20[[ID]:[ID]],0)),0)+_xlfn.IFNA(INDEX(FY26_LE_Data_March20[Oct. 1, 2024 - SPED Self-Contained],MATCH(Calculations!$A52,FY26_LE_Data_March20[[ID]:[ID]],0)),0))</f>
        <v>311</v>
      </c>
      <c r="F52" s="1">
        <f t="shared" si="2"/>
        <v>15083.79851454145</v>
      </c>
      <c r="G52" s="7"/>
    </row>
    <row r="53" spans="1:7" x14ac:dyDescent="0.3">
      <c r="A53" s="45">
        <v>92</v>
      </c>
      <c r="B53" s="46" t="s">
        <v>50</v>
      </c>
      <c r="C53" s="43" t="str">
        <f>_xlfn.IFNA(INDEX(FY26_LE_Data_March20[Type],MATCH(Calculations!$A53,FY26_LE_Data_March20[[ID]:[ID]],0)),0)</f>
        <v>Charter</v>
      </c>
      <c r="D53" s="43" t="s">
        <v>503</v>
      </c>
      <c r="E53" s="58">
        <f>IF(D53="Yes", _xlfn.IFNA(INDEX(FY26_LE_Data_March20[Oct 1, 2025 (CDC) - Grades K-12],MATCH(Calculations!$A53,FY26_LE_Data_March20[[ID]:[ID]],0)),0), _xlfn.IFNA(INDEX(FY26_LE_Data_March20[Oct. 1, 2024 - Grades K-12],MATCH(Calculations!$A53,FY26_LE_Data_March20[[ID]:[ID]],0)),0)+_xlfn.IFNA(INDEX(FY26_LE_Data_March20[Oct. 1, 2024 - SPED Self-Contained],MATCH(Calculations!$A53,FY26_LE_Data_March20[[ID]:[ID]],0)),0))</f>
        <v>82</v>
      </c>
      <c r="F53" s="1">
        <f t="shared" si="2"/>
        <v>8080.6614357228909</v>
      </c>
      <c r="G53" s="7"/>
    </row>
    <row r="54" spans="1:7" x14ac:dyDescent="0.3">
      <c r="A54" s="45">
        <v>93</v>
      </c>
      <c r="B54" s="46" t="s">
        <v>51</v>
      </c>
      <c r="C54" s="43" t="str">
        <f>_xlfn.IFNA(INDEX(FY26_LE_Data_March20[Type],MATCH(Calculations!$A54,FY26_LE_Data_March20[[ID]:[ID]],0)),0)</f>
        <v>Charter</v>
      </c>
      <c r="D54" s="43" t="s">
        <v>503</v>
      </c>
      <c r="E54" s="58">
        <f>IF(D54="Yes", _xlfn.IFNA(INDEX(FY26_LE_Data_March20[Oct 1, 2025 (CDC) - Grades K-12],MATCH(Calculations!$A54,FY26_LE_Data_March20[[ID]:[ID]],0)),0), _xlfn.IFNA(INDEX(FY26_LE_Data_March20[Oct. 1, 2024 - Grades K-12],MATCH(Calculations!$A54,FY26_LE_Data_March20[[ID]:[ID]],0)),0)+_xlfn.IFNA(INDEX(FY26_LE_Data_March20[Oct. 1, 2024 - SPED Self-Contained],MATCH(Calculations!$A54,FY26_LE_Data_March20[[ID]:[ID]],0)),0))</f>
        <v>1053</v>
      </c>
      <c r="F54" s="1">
        <f t="shared" si="2"/>
        <v>37775.185905298531</v>
      </c>
      <c r="G54" s="7"/>
    </row>
    <row r="55" spans="1:7" x14ac:dyDescent="0.3">
      <c r="A55" s="45">
        <v>94</v>
      </c>
      <c r="B55" s="46" t="s">
        <v>52</v>
      </c>
      <c r="C55" s="43" t="str">
        <f>_xlfn.IFNA(INDEX(FY26_LE_Data_March20[Type],MATCH(Calculations!$A55,FY26_LE_Data_March20[[ID]:[ID]],0)),0)</f>
        <v>Charter</v>
      </c>
      <c r="D55" s="43" t="s">
        <v>503</v>
      </c>
      <c r="E55" s="58">
        <f>IF(D55="Yes", _xlfn.IFNA(INDEX(FY26_LE_Data_March20[Oct 1, 2025 (CDC) - Grades K-12],MATCH(Calculations!$A55,FY26_LE_Data_March20[[ID]:[ID]],0)),0), _xlfn.IFNA(INDEX(FY26_LE_Data_March20[Oct. 1, 2024 - Grades K-12],MATCH(Calculations!$A55,FY26_LE_Data_March20[[ID]:[ID]],0)),0)+_xlfn.IFNA(INDEX(FY26_LE_Data_March20[Oct. 1, 2024 - SPED Self-Contained],MATCH(Calculations!$A55,FY26_LE_Data_March20[[ID]:[ID]],0)),0))</f>
        <v>1192</v>
      </c>
      <c r="F55" s="1">
        <f t="shared" si="2"/>
        <v>42025.998367987529</v>
      </c>
      <c r="G55" s="7"/>
    </row>
    <row r="56" spans="1:7" x14ac:dyDescent="0.3">
      <c r="A56" s="45">
        <v>95</v>
      </c>
      <c r="B56" s="46" t="s">
        <v>53</v>
      </c>
      <c r="C56" s="43" t="str">
        <f>_xlfn.IFNA(INDEX(FY26_LE_Data_March20[Type],MATCH(Calculations!$A56,FY26_LE_Data_March20[[ID]:[ID]],0)),0)</f>
        <v>Charter</v>
      </c>
      <c r="D56" s="43" t="s">
        <v>503</v>
      </c>
      <c r="E56" s="58">
        <f>IF(D56="Yes", _xlfn.IFNA(INDEX(FY26_LE_Data_March20[Oct 1, 2025 (CDC) - Grades K-12],MATCH(Calculations!$A56,FY26_LE_Data_March20[[ID]:[ID]],0)),0), _xlfn.IFNA(INDEX(FY26_LE_Data_March20[Oct. 1, 2024 - Grades K-12],MATCH(Calculations!$A56,FY26_LE_Data_March20[[ID]:[ID]],0)),0)+_xlfn.IFNA(INDEX(FY26_LE_Data_March20[Oct. 1, 2024 - SPED Self-Contained],MATCH(Calculations!$A56,FY26_LE_Data_March20[[ID]:[ID]],0)),0))</f>
        <v>495</v>
      </c>
      <c r="F56" s="1">
        <f t="shared" si="2"/>
        <v>20710.773285295229</v>
      </c>
      <c r="G56" s="7"/>
    </row>
    <row r="57" spans="1:7" x14ac:dyDescent="0.3">
      <c r="A57" s="45">
        <v>97</v>
      </c>
      <c r="B57" s="46" t="s">
        <v>54</v>
      </c>
      <c r="C57" s="43" t="str">
        <f>_xlfn.IFNA(INDEX(FY26_LE_Data_March20[Type],MATCH(Calculations!$A57,FY26_LE_Data_March20[[ID]:[ID]],0)),0)</f>
        <v>Charter</v>
      </c>
      <c r="D57" s="43" t="s">
        <v>503</v>
      </c>
      <c r="E57" s="58">
        <f>IF(D57="Yes", _xlfn.IFNA(INDEX(FY26_LE_Data_March20[Oct 1, 2025 (CDC) - Grades K-12],MATCH(Calculations!$A57,FY26_LE_Data_March20[[ID]:[ID]],0)),0), _xlfn.IFNA(INDEX(FY26_LE_Data_March20[Oct. 1, 2024 - Grades K-12],MATCH(Calculations!$A57,FY26_LE_Data_March20[[ID]:[ID]],0)),0)+_xlfn.IFNA(INDEX(FY26_LE_Data_March20[Oct. 1, 2024 - SPED Self-Contained],MATCH(Calculations!$A57,FY26_LE_Data_March20[[ID]:[ID]],0)),0))</f>
        <v>415</v>
      </c>
      <c r="F57" s="1">
        <f t="shared" si="2"/>
        <v>18264.262515402283</v>
      </c>
      <c r="G57" s="7"/>
    </row>
    <row r="58" spans="1:7" x14ac:dyDescent="0.3">
      <c r="A58" s="45">
        <v>98</v>
      </c>
      <c r="B58" s="46" t="s">
        <v>55</v>
      </c>
      <c r="C58" s="43" t="str">
        <f>_xlfn.IFNA(INDEX(FY26_LE_Data_March20[Type],MATCH(Calculations!$A58,FY26_LE_Data_March20[[ID]:[ID]],0)),0)</f>
        <v>Charter</v>
      </c>
      <c r="D58" s="43" t="s">
        <v>503</v>
      </c>
      <c r="E58" s="58">
        <f>IF(D58="Yes", _xlfn.IFNA(INDEX(FY26_LE_Data_March20[Oct 1, 2025 (CDC) - Grades K-12],MATCH(Calculations!$A58,FY26_LE_Data_March20[[ID]:[ID]],0)),0), _xlfn.IFNA(INDEX(FY26_LE_Data_March20[Oct. 1, 2024 - Grades K-12],MATCH(Calculations!$A58,FY26_LE_Data_March20[[ID]:[ID]],0)),0)+_xlfn.IFNA(INDEX(FY26_LE_Data_March20[Oct. 1, 2024 - SPED Self-Contained],MATCH(Calculations!$A58,FY26_LE_Data_March20[[ID]:[ID]],0)),0))</f>
        <v>442</v>
      </c>
      <c r="F58" s="1">
        <f t="shared" si="2"/>
        <v>19089.959900241152</v>
      </c>
      <c r="G58" s="7"/>
    </row>
    <row r="59" spans="1:7" x14ac:dyDescent="0.3">
      <c r="A59" s="45" t="s">
        <v>56</v>
      </c>
      <c r="B59" s="46" t="s">
        <v>57</v>
      </c>
      <c r="C59" s="43" t="str">
        <f>_xlfn.IFNA(INDEX(FY26_LE_Data_March20[Type],MATCH(Calculations!$A59,FY26_LE_Data_March20[[ID]:[ID]],0)),0)</f>
        <v>Charter</v>
      </c>
      <c r="D59" s="43" t="s">
        <v>503</v>
      </c>
      <c r="E59" s="58">
        <f>IF(D59="Yes", _xlfn.IFNA(INDEX(FY26_LE_Data_March20[Oct 1, 2025 (CDC) - Grades K-12],MATCH(Calculations!$A59,FY26_LE_Data_March20[[ID]:[ID]],0)),0), _xlfn.IFNA(INDEX(FY26_LE_Data_March20[Oct. 1, 2024 - Grades K-12],MATCH(Calculations!$A59,FY26_LE_Data_March20[[ID]:[ID]],0)),0)+_xlfn.IFNA(INDEX(FY26_LE_Data_March20[Oct. 1, 2024 - SPED Self-Contained],MATCH(Calculations!$A59,FY26_LE_Data_March20[[ID]:[ID]],0)),0))</f>
        <v>1132</v>
      </c>
      <c r="F59" s="1">
        <f t="shared" si="2"/>
        <v>40191.115290567817</v>
      </c>
      <c r="G59" s="7"/>
    </row>
    <row r="60" spans="1:7" x14ac:dyDescent="0.3">
      <c r="A60" s="45" t="s">
        <v>58</v>
      </c>
      <c r="B60" s="46" t="s">
        <v>59</v>
      </c>
      <c r="C60" s="43" t="str">
        <f>_xlfn.IFNA(INDEX(FY26_LE_Data_March20[Type],MATCH(Calculations!$A60,FY26_LE_Data_March20[[ID]:[ID]],0)),0)</f>
        <v>Charter</v>
      </c>
      <c r="D60" s="43" t="s">
        <v>503</v>
      </c>
      <c r="E60" s="58">
        <f>IF(D60="Yes", _xlfn.IFNA(INDEX(FY26_LE_Data_March20[Oct 1, 2025 (CDC) - Grades K-12],MATCH(Calculations!$A60,FY26_LE_Data_March20[[ID]:[ID]],0)),0), _xlfn.IFNA(INDEX(FY26_LE_Data_March20[Oct. 1, 2024 - Grades K-12],MATCH(Calculations!$A60,FY26_LE_Data_March20[[ID]:[ID]],0)),0)+_xlfn.IFNA(INDEX(FY26_LE_Data_March20[Oct. 1, 2024 - SPED Self-Contained],MATCH(Calculations!$A60,FY26_LE_Data_March20[[ID]:[ID]],0)),0))</f>
        <v>363</v>
      </c>
      <c r="F60" s="1">
        <f t="shared" si="2"/>
        <v>16674.030514971866</v>
      </c>
      <c r="G60" s="7"/>
    </row>
    <row r="61" spans="1:7" x14ac:dyDescent="0.3">
      <c r="A61" s="45" t="s">
        <v>60</v>
      </c>
      <c r="B61" s="46" t="s">
        <v>61</v>
      </c>
      <c r="C61" s="43" t="str">
        <f>_xlfn.IFNA(INDEX(FY26_LE_Data_March20[Type],MATCH(Calculations!$A61,FY26_LE_Data_March20[[ID]:[ID]],0)),0)</f>
        <v>Charter</v>
      </c>
      <c r="D61" s="43" t="s">
        <v>503</v>
      </c>
      <c r="E61" s="58">
        <f>IF(D61="Yes", _xlfn.IFNA(INDEX(FY26_LE_Data_March20[Oct 1, 2025 (CDC) - Grades K-12],MATCH(Calculations!$A61,FY26_LE_Data_March20[[ID]:[ID]],0)),0), _xlfn.IFNA(INDEX(FY26_LE_Data_March20[Oct. 1, 2024 - Grades K-12],MATCH(Calculations!$A61,FY26_LE_Data_March20[[ID]:[ID]],0)),0)+_xlfn.IFNA(INDEX(FY26_LE_Data_March20[Oct. 1, 2024 - SPED Self-Contained],MATCH(Calculations!$A61,FY26_LE_Data_March20[[ID]:[ID]],0)),0))</f>
        <v>1279</v>
      </c>
      <c r="F61" s="1">
        <f t="shared" si="2"/>
        <v>44686.578830246108</v>
      </c>
      <c r="G61" s="7"/>
    </row>
    <row r="62" spans="1:7" x14ac:dyDescent="0.3">
      <c r="A62" s="45" t="s">
        <v>62</v>
      </c>
      <c r="B62" s="46" t="s">
        <v>63</v>
      </c>
      <c r="C62" s="43" t="str">
        <f>_xlfn.IFNA(INDEX(FY26_LE_Data_March20[Type],MATCH(Calculations!$A62,FY26_LE_Data_March20[[ID]:[ID]],0)),0)</f>
        <v>Charter</v>
      </c>
      <c r="D62" s="43" t="s">
        <v>503</v>
      </c>
      <c r="E62" s="58">
        <f>IF(D62="Yes", _xlfn.IFNA(INDEX(FY26_LE_Data_March20[Oct 1, 2025 (CDC) - Grades K-12],MATCH(Calculations!$A62,FY26_LE_Data_March20[[ID]:[ID]],0)),0), _xlfn.IFNA(INDEX(FY26_LE_Data_March20[Oct. 1, 2024 - Grades K-12],MATCH(Calculations!$A62,FY26_LE_Data_March20[[ID]:[ID]],0)),0)+_xlfn.IFNA(INDEX(FY26_LE_Data_March20[Oct. 1, 2024 - SPED Self-Contained],MATCH(Calculations!$A62,FY26_LE_Data_March20[[ID]:[ID]],0)),0))</f>
        <v>2587</v>
      </c>
      <c r="F62" s="1">
        <f t="shared" si="2"/>
        <v>84687.029917995795</v>
      </c>
      <c r="G62" s="7"/>
    </row>
    <row r="63" spans="1:7" x14ac:dyDescent="0.3">
      <c r="A63" s="45" t="s">
        <v>64</v>
      </c>
      <c r="B63" s="46" t="s">
        <v>65</v>
      </c>
      <c r="C63" s="43" t="str">
        <f>_xlfn.IFNA(INDEX(FY26_LE_Data_March20[Type],MATCH(Calculations!$A63,FY26_LE_Data_March20[[ID]:[ID]],0)),0)</f>
        <v>Charter</v>
      </c>
      <c r="D63" s="43" t="s">
        <v>503</v>
      </c>
      <c r="E63" s="58">
        <f>IF(D63="Yes", _xlfn.IFNA(INDEX(FY26_LE_Data_March20[Oct 1, 2025 (CDC) - Grades K-12],MATCH(Calculations!$A63,FY26_LE_Data_March20[[ID]:[ID]],0)),0), _xlfn.IFNA(INDEX(FY26_LE_Data_March20[Oct. 1, 2024 - Grades K-12],MATCH(Calculations!$A63,FY26_LE_Data_March20[[ID]:[ID]],0)),0)+_xlfn.IFNA(INDEX(FY26_LE_Data_March20[Oct. 1, 2024 - SPED Self-Contained],MATCH(Calculations!$A63,FY26_LE_Data_March20[[ID]:[ID]],0)),0))</f>
        <v>366</v>
      </c>
      <c r="F63" s="1">
        <f t="shared" si="2"/>
        <v>16765.774668842852</v>
      </c>
      <c r="G63" s="7"/>
    </row>
    <row r="64" spans="1:7" x14ac:dyDescent="0.3">
      <c r="A64" s="45" t="s">
        <v>66</v>
      </c>
      <c r="B64" s="46" t="s">
        <v>67</v>
      </c>
      <c r="C64" s="43" t="str">
        <f>_xlfn.IFNA(INDEX(FY26_LE_Data_March20[Type],MATCH(Calculations!$A64,FY26_LE_Data_March20[[ID]:[ID]],0)),0)</f>
        <v>Charter</v>
      </c>
      <c r="D64" s="43" t="s">
        <v>503</v>
      </c>
      <c r="E64" s="58">
        <f>IF(D64="Yes", _xlfn.IFNA(INDEX(FY26_LE_Data_March20[Oct 1, 2025 (CDC) - Grades K-12],MATCH(Calculations!$A64,FY26_LE_Data_March20[[ID]:[ID]],0)),0), _xlfn.IFNA(INDEX(FY26_LE_Data_March20[Oct. 1, 2024 - Grades K-12],MATCH(Calculations!$A64,FY26_LE_Data_March20[[ID]:[ID]],0)),0)+_xlfn.IFNA(INDEX(FY26_LE_Data_March20[Oct. 1, 2024 - SPED Self-Contained],MATCH(Calculations!$A64,FY26_LE_Data_March20[[ID]:[ID]],0)),0))</f>
        <v>970</v>
      </c>
      <c r="F64" s="1">
        <f t="shared" si="2"/>
        <v>35236.930981534599</v>
      </c>
      <c r="G64" s="7"/>
    </row>
    <row r="65" spans="1:7" x14ac:dyDescent="0.3">
      <c r="A65" s="45" t="s">
        <v>68</v>
      </c>
      <c r="B65" s="46" t="s">
        <v>69</v>
      </c>
      <c r="C65" s="43" t="str">
        <f>_xlfn.IFNA(INDEX(FY26_LE_Data_March20[Type],MATCH(Calculations!$A65,FY26_LE_Data_March20[[ID]:[ID]],0)),0)</f>
        <v>Charter</v>
      </c>
      <c r="D65" s="43" t="s">
        <v>503</v>
      </c>
      <c r="E65" s="58">
        <f>IF(D65="Yes", _xlfn.IFNA(INDEX(FY26_LE_Data_March20[Oct 1, 2025 (CDC) - Grades K-12],MATCH(Calculations!$A65,FY26_LE_Data_March20[[ID]:[ID]],0)),0), _xlfn.IFNA(INDEX(FY26_LE_Data_March20[Oct. 1, 2024 - Grades K-12],MATCH(Calculations!$A65,FY26_LE_Data_March20[[ID]:[ID]],0)),0)+_xlfn.IFNA(INDEX(FY26_LE_Data_March20[Oct. 1, 2024 - SPED Self-Contained],MATCH(Calculations!$A65,FY26_LE_Data_March20[[ID]:[ID]],0)),0))</f>
        <v>71</v>
      </c>
      <c r="F65" s="1">
        <f t="shared" si="2"/>
        <v>7744.2662048626107</v>
      </c>
      <c r="G65" s="7"/>
    </row>
    <row r="66" spans="1:7" x14ac:dyDescent="0.3">
      <c r="A66" s="45" t="s">
        <v>70</v>
      </c>
      <c r="B66" s="46" t="s">
        <v>71</v>
      </c>
      <c r="C66" s="43" t="str">
        <f>_xlfn.IFNA(INDEX(FY26_LE_Data_March20[Type],MATCH(Calculations!$A66,FY26_LE_Data_March20[[ID]:[ID]],0)),0)</f>
        <v>Charter</v>
      </c>
      <c r="D66" s="43" t="s">
        <v>503</v>
      </c>
      <c r="E66" s="58">
        <f>IF(D66="Yes", _xlfn.IFNA(INDEX(FY26_LE_Data_March20[Oct 1, 2025 (CDC) - Grades K-12],MATCH(Calculations!$A66,FY26_LE_Data_March20[[ID]:[ID]],0)),0), _xlfn.IFNA(INDEX(FY26_LE_Data_March20[Oct. 1, 2024 - Grades K-12],MATCH(Calculations!$A66,FY26_LE_Data_March20[[ID]:[ID]],0)),0)+_xlfn.IFNA(INDEX(FY26_LE_Data_March20[Oct. 1, 2024 - SPED Self-Contained],MATCH(Calculations!$A66,FY26_LE_Data_March20[[ID]:[ID]],0)),0))</f>
        <v>327</v>
      </c>
      <c r="F66" s="1">
        <f t="shared" si="2"/>
        <v>15573.100668520041</v>
      </c>
      <c r="G66" s="7"/>
    </row>
    <row r="67" spans="1:7" x14ac:dyDescent="0.3">
      <c r="A67" s="45" t="s">
        <v>72</v>
      </c>
      <c r="B67" s="46" t="s">
        <v>73</v>
      </c>
      <c r="C67" s="43" t="str">
        <f>_xlfn.IFNA(INDEX(FY26_LE_Data_March20[Type],MATCH(Calculations!$A67,FY26_LE_Data_March20[[ID]:[ID]],0)),0)</f>
        <v>Charter</v>
      </c>
      <c r="D67" s="43" t="s">
        <v>503</v>
      </c>
      <c r="E67" s="58">
        <f>IF(D67="Yes", _xlfn.IFNA(INDEX(FY26_LE_Data_March20[Oct 1, 2025 (CDC) - Grades K-12],MATCH(Calculations!$A67,FY26_LE_Data_March20[[ID]:[ID]],0)),0), _xlfn.IFNA(INDEX(FY26_LE_Data_March20[Oct. 1, 2024 - Grades K-12],MATCH(Calculations!$A67,FY26_LE_Data_March20[[ID]:[ID]],0)),0)+_xlfn.IFNA(INDEX(FY26_LE_Data_March20[Oct. 1, 2024 - SPED Self-Contained],MATCH(Calculations!$A67,FY26_LE_Data_March20[[ID]:[ID]],0)),0))</f>
        <v>538</v>
      </c>
      <c r="F67" s="1">
        <f t="shared" si="2"/>
        <v>22025.77282411269</v>
      </c>
      <c r="G67" s="7"/>
    </row>
    <row r="68" spans="1:7" x14ac:dyDescent="0.3">
      <c r="A68" s="45" t="s">
        <v>74</v>
      </c>
      <c r="B68" s="46" t="s">
        <v>75</v>
      </c>
      <c r="C68" s="43" t="str">
        <f>_xlfn.IFNA(INDEX(FY26_LE_Data_March20[Type],MATCH(Calculations!$A68,FY26_LE_Data_March20[[ID]:[ID]],0)),0)</f>
        <v>Charter</v>
      </c>
      <c r="D68" s="43" t="s">
        <v>503</v>
      </c>
      <c r="E68" s="58">
        <f>IF(D68="Yes", _xlfn.IFNA(INDEX(FY26_LE_Data_March20[Oct 1, 2025 (CDC) - Grades K-12],MATCH(Calculations!$A68,FY26_LE_Data_March20[[ID]:[ID]],0)),0), _xlfn.IFNA(INDEX(FY26_LE_Data_March20[Oct. 1, 2024 - Grades K-12],MATCH(Calculations!$A68,FY26_LE_Data_March20[[ID]:[ID]],0)),0)+_xlfn.IFNA(INDEX(FY26_LE_Data_March20[Oct. 1, 2024 - SPED Self-Contained],MATCH(Calculations!$A68,FY26_LE_Data_March20[[ID]:[ID]],0)),0))</f>
        <v>509</v>
      </c>
      <c r="F68" s="1">
        <f t="shared" si="2"/>
        <v>21138.912670026493</v>
      </c>
      <c r="G68" s="7"/>
    </row>
    <row r="69" spans="1:7" x14ac:dyDescent="0.3">
      <c r="A69" s="45" t="s">
        <v>76</v>
      </c>
      <c r="B69" s="46" t="s">
        <v>77</v>
      </c>
      <c r="C69" s="43" t="str">
        <f>_xlfn.IFNA(INDEX(FY26_LE_Data_March20[Type],MATCH(Calculations!$A69,FY26_LE_Data_March20[[ID]:[ID]],0)),0)</f>
        <v>Charter</v>
      </c>
      <c r="D69" s="43" t="s">
        <v>503</v>
      </c>
      <c r="E69" s="58">
        <f>IF(D69="Yes", _xlfn.IFNA(INDEX(FY26_LE_Data_March20[Oct 1, 2025 (CDC) - Grades K-12],MATCH(Calculations!$A69,FY26_LE_Data_March20[[ID]:[ID]],0)),0), _xlfn.IFNA(INDEX(FY26_LE_Data_March20[Oct. 1, 2024 - Grades K-12],MATCH(Calculations!$A69,FY26_LE_Data_March20[[ID]:[ID]],0)),0)+_xlfn.IFNA(INDEX(FY26_LE_Data_March20[Oct. 1, 2024 - SPED Self-Contained],MATCH(Calculations!$A69,FY26_LE_Data_March20[[ID]:[ID]],0)),0))</f>
        <v>916</v>
      </c>
      <c r="F69" s="1">
        <f t="shared" si="2"/>
        <v>33585.536211856859</v>
      </c>
      <c r="G69" s="7"/>
    </row>
    <row r="70" spans="1:7" x14ac:dyDescent="0.3">
      <c r="A70" s="45" t="s">
        <v>78</v>
      </c>
      <c r="B70" s="46" t="s">
        <v>79</v>
      </c>
      <c r="C70" s="43" t="str">
        <f>_xlfn.IFNA(INDEX(FY26_LE_Data_March20[Type],MATCH(Calculations!$A70,FY26_LE_Data_March20[[ID]:[ID]],0)),0)</f>
        <v>Charter</v>
      </c>
      <c r="D70" s="43" t="s">
        <v>503</v>
      </c>
      <c r="E70" s="58">
        <f>IF(D70="Yes", _xlfn.IFNA(INDEX(FY26_LE_Data_March20[Oct 1, 2025 (CDC) - Grades K-12],MATCH(Calculations!$A70,FY26_LE_Data_March20[[ID]:[ID]],0)),0), _xlfn.IFNA(INDEX(FY26_LE_Data_March20[Oct. 1, 2024 - Grades K-12],MATCH(Calculations!$A70,FY26_LE_Data_March20[[ID]:[ID]],0)),0)+_xlfn.IFNA(INDEX(FY26_LE_Data_March20[Oct. 1, 2024 - SPED Self-Contained],MATCH(Calculations!$A70,FY26_LE_Data_March20[[ID]:[ID]],0)),0))</f>
        <v>866</v>
      </c>
      <c r="F70" s="1">
        <f t="shared" si="2"/>
        <v>32056.466980673773</v>
      </c>
      <c r="G70" s="7"/>
    </row>
    <row r="71" spans="1:7" x14ac:dyDescent="0.3">
      <c r="A71" s="45" t="s">
        <v>80</v>
      </c>
      <c r="B71" s="46" t="s">
        <v>81</v>
      </c>
      <c r="C71" s="43" t="str">
        <f>_xlfn.IFNA(INDEX(FY26_LE_Data_March20[Type],MATCH(Calculations!$A71,FY26_LE_Data_March20[[ID]:[ID]],0)),0)</f>
        <v>Charter</v>
      </c>
      <c r="D71" s="43" t="s">
        <v>503</v>
      </c>
      <c r="E71" s="58">
        <f>IF(D71="Yes", _xlfn.IFNA(INDEX(FY26_LE_Data_March20[Oct 1, 2025 (CDC) - Grades K-12],MATCH(Calculations!$A71,FY26_LE_Data_March20[[ID]:[ID]],0)),0), _xlfn.IFNA(INDEX(FY26_LE_Data_March20[Oct. 1, 2024 - Grades K-12],MATCH(Calculations!$A71,FY26_LE_Data_March20[[ID]:[ID]],0)),0)+_xlfn.IFNA(INDEX(FY26_LE_Data_March20[Oct. 1, 2024 - SPED Self-Contained],MATCH(Calculations!$A71,FY26_LE_Data_March20[[ID]:[ID]],0)),0))</f>
        <v>520</v>
      </c>
      <c r="F71" s="1">
        <f t="shared" ref="F71:F102" si="3">IF(OR(C71="District",C71="Other"),$E$176+(E71*$E$177),$E$169+(E71*$E$170))</f>
        <v>21475.307900886775</v>
      </c>
      <c r="G71" s="7"/>
    </row>
    <row r="72" spans="1:7" x14ac:dyDescent="0.3">
      <c r="A72" s="45" t="s">
        <v>82</v>
      </c>
      <c r="B72" s="46" t="s">
        <v>83</v>
      </c>
      <c r="C72" s="43" t="str">
        <f>_xlfn.IFNA(INDEX(FY26_LE_Data_March20[Type],MATCH(Calculations!$A72,FY26_LE_Data_March20[[ID]:[ID]],0)),0)</f>
        <v>Charter</v>
      </c>
      <c r="D72" s="43" t="s">
        <v>503</v>
      </c>
      <c r="E72" s="58">
        <f>IF(D72="Yes", _xlfn.IFNA(INDEX(FY26_LE_Data_March20[Oct 1, 2025 (CDC) - Grades K-12],MATCH(Calculations!$A72,FY26_LE_Data_March20[[ID]:[ID]],0)),0), _xlfn.IFNA(INDEX(FY26_LE_Data_March20[Oct. 1, 2024 - Grades K-12],MATCH(Calculations!$A72,FY26_LE_Data_March20[[ID]:[ID]],0)),0)+_xlfn.IFNA(INDEX(FY26_LE_Data_March20[Oct. 1, 2024 - SPED Self-Contained],MATCH(Calculations!$A72,FY26_LE_Data_March20[[ID]:[ID]],0)),0))</f>
        <v>526</v>
      </c>
      <c r="F72" s="1">
        <f t="shared" si="3"/>
        <v>21658.796208628748</v>
      </c>
      <c r="G72" s="7"/>
    </row>
    <row r="73" spans="1:7" x14ac:dyDescent="0.3">
      <c r="A73" s="45" t="s">
        <v>84</v>
      </c>
      <c r="B73" s="46" t="s">
        <v>85</v>
      </c>
      <c r="C73" s="43" t="str">
        <f>_xlfn.IFNA(INDEX(FY26_LE_Data_March20[Type],MATCH(Calculations!$A73,FY26_LE_Data_March20[[ID]:[ID]],0)),0)</f>
        <v>Charter</v>
      </c>
      <c r="D73" s="43" t="s">
        <v>503</v>
      </c>
      <c r="E73" s="58">
        <f>IF(D73="Yes", _xlfn.IFNA(INDEX(FY26_LE_Data_March20[Oct 1, 2025 (CDC) - Grades K-12],MATCH(Calculations!$A73,FY26_LE_Data_March20[[ID]:[ID]],0)),0), _xlfn.IFNA(INDEX(FY26_LE_Data_March20[Oct. 1, 2024 - Grades K-12],MATCH(Calculations!$A73,FY26_LE_Data_March20[[ID]:[ID]],0)),0)+_xlfn.IFNA(INDEX(FY26_LE_Data_March20[Oct. 1, 2024 - SPED Self-Contained],MATCH(Calculations!$A73,FY26_LE_Data_March20[[ID]:[ID]],0)),0))</f>
        <v>687</v>
      </c>
      <c r="F73" s="1">
        <f t="shared" si="3"/>
        <v>26582.399133038303</v>
      </c>
      <c r="G73" s="7"/>
    </row>
    <row r="74" spans="1:7" x14ac:dyDescent="0.3">
      <c r="A74" s="45" t="s">
        <v>86</v>
      </c>
      <c r="B74" s="46" t="s">
        <v>87</v>
      </c>
      <c r="C74" s="43" t="str">
        <f>_xlfn.IFNA(INDEX(FY26_LE_Data_March20[Type],MATCH(Calculations!$A74,FY26_LE_Data_March20[[ID]:[ID]],0)),0)</f>
        <v>Charter</v>
      </c>
      <c r="D74" s="43" t="s">
        <v>503</v>
      </c>
      <c r="E74" s="58">
        <f>IF(D74="Yes", _xlfn.IFNA(INDEX(FY26_LE_Data_March20[Oct 1, 2025 (CDC) - Grades K-12],MATCH(Calculations!$A74,FY26_LE_Data_March20[[ID]:[ID]],0)),0), _xlfn.IFNA(INDEX(FY26_LE_Data_March20[Oct. 1, 2024 - Grades K-12],MATCH(Calculations!$A74,FY26_LE_Data_March20[[ID]:[ID]],0)),0)+_xlfn.IFNA(INDEX(FY26_LE_Data_March20[Oct. 1, 2024 - SPED Self-Contained],MATCH(Calculations!$A74,FY26_LE_Data_March20[[ID]:[ID]],0)),0))</f>
        <v>1600</v>
      </c>
      <c r="F74" s="1">
        <f t="shared" si="3"/>
        <v>54503.203294441562</v>
      </c>
      <c r="G74" s="7"/>
    </row>
    <row r="75" spans="1:7" x14ac:dyDescent="0.3">
      <c r="A75" s="45" t="s">
        <v>88</v>
      </c>
      <c r="B75" s="46" t="s">
        <v>89</v>
      </c>
      <c r="C75" s="43" t="str">
        <f>_xlfn.IFNA(INDEX(FY26_LE_Data_March20[Type],MATCH(Calculations!$A75,FY26_LE_Data_March20[[ID]:[ID]],0)),0)</f>
        <v>Charter</v>
      </c>
      <c r="D75" s="43" t="s">
        <v>503</v>
      </c>
      <c r="E75" s="58">
        <f>IF(D75="Yes", _xlfn.IFNA(INDEX(FY26_LE_Data_March20[Oct 1, 2025 (CDC) - Grades K-12],MATCH(Calculations!$A75,FY26_LE_Data_March20[[ID]:[ID]],0)),0), _xlfn.IFNA(INDEX(FY26_LE_Data_March20[Oct. 1, 2024 - Grades K-12],MATCH(Calculations!$A75,FY26_LE_Data_March20[[ID]:[ID]],0)),0)+_xlfn.IFNA(INDEX(FY26_LE_Data_March20[Oct. 1, 2024 - SPED Self-Contained],MATCH(Calculations!$A75,FY26_LE_Data_March20[[ID]:[ID]],0)),0))</f>
        <v>375</v>
      </c>
      <c r="F75" s="1">
        <f t="shared" si="3"/>
        <v>17041.007130455808</v>
      </c>
      <c r="G75" s="7"/>
    </row>
    <row r="76" spans="1:7" x14ac:dyDescent="0.3">
      <c r="A76" s="45" t="s">
        <v>90</v>
      </c>
      <c r="B76" s="46" t="s">
        <v>91</v>
      </c>
      <c r="C76" s="43" t="str">
        <f>_xlfn.IFNA(INDEX(FY26_LE_Data_March20[Type],MATCH(Calculations!$A76,FY26_LE_Data_March20[[ID]:[ID]],0)),0)</f>
        <v>Charter</v>
      </c>
      <c r="D76" s="43" t="s">
        <v>503</v>
      </c>
      <c r="E76" s="58">
        <f>IF(D76="Yes", _xlfn.IFNA(INDEX(FY26_LE_Data_March20[Oct 1, 2025 (CDC) - Grades K-12],MATCH(Calculations!$A76,FY26_LE_Data_March20[[ID]:[ID]],0)),0), _xlfn.IFNA(INDEX(FY26_LE_Data_March20[Oct. 1, 2024 - Grades K-12],MATCH(Calculations!$A76,FY26_LE_Data_March20[[ID]:[ID]],0)),0)+_xlfn.IFNA(INDEX(FY26_LE_Data_March20[Oct. 1, 2024 - SPED Self-Contained],MATCH(Calculations!$A76,FY26_LE_Data_March20[[ID]:[ID]],0)),0))</f>
        <v>420</v>
      </c>
      <c r="F76" s="1">
        <f t="shared" si="3"/>
        <v>18417.169438520592</v>
      </c>
      <c r="G76" s="7"/>
    </row>
    <row r="77" spans="1:7" x14ac:dyDescent="0.3">
      <c r="A77" s="45" t="s">
        <v>92</v>
      </c>
      <c r="B77" s="46" t="s">
        <v>93</v>
      </c>
      <c r="C77" s="43" t="str">
        <f>_xlfn.IFNA(INDEX(FY26_LE_Data_March20[Type],MATCH(Calculations!$A77,FY26_LE_Data_March20[[ID]:[ID]],0)),0)</f>
        <v>Charter</v>
      </c>
      <c r="D77" s="43" t="s">
        <v>503</v>
      </c>
      <c r="E77" s="58">
        <f>IF(D77="Yes", _xlfn.IFNA(INDEX(FY26_LE_Data_March20[Oct 1, 2025 (CDC) - Grades K-12],MATCH(Calculations!$A77,FY26_LE_Data_March20[[ID]:[ID]],0)),0), _xlfn.IFNA(INDEX(FY26_LE_Data_March20[Oct. 1, 2024 - Grades K-12],MATCH(Calculations!$A77,FY26_LE_Data_March20[[ID]:[ID]],0)),0)+_xlfn.IFNA(INDEX(FY26_LE_Data_March20[Oct. 1, 2024 - SPED Self-Contained],MATCH(Calculations!$A77,FY26_LE_Data_March20[[ID]:[ID]],0)),0))</f>
        <v>197</v>
      </c>
      <c r="F77" s="1">
        <f t="shared" si="3"/>
        <v>11597.520667444001</v>
      </c>
      <c r="G77" s="7"/>
    </row>
    <row r="78" spans="1:7" x14ac:dyDescent="0.3">
      <c r="A78" s="45" t="s">
        <v>94</v>
      </c>
      <c r="B78" s="46" t="s">
        <v>95</v>
      </c>
      <c r="C78" s="43" t="str">
        <f>_xlfn.IFNA(INDEX(FY26_LE_Data_March20[Type],MATCH(Calculations!$A78,FY26_LE_Data_March20[[ID]:[ID]],0)),0)</f>
        <v>Charter</v>
      </c>
      <c r="D78" s="43" t="s">
        <v>503</v>
      </c>
      <c r="E78" s="58">
        <f>IF(D78="Yes", _xlfn.IFNA(INDEX(FY26_LE_Data_March20[Oct 1, 2025 (CDC) - Grades K-12],MATCH(Calculations!$A78,FY26_LE_Data_March20[[ID]:[ID]],0)),0), _xlfn.IFNA(INDEX(FY26_LE_Data_March20[Oct. 1, 2024 - Grades K-12],MATCH(Calculations!$A78,FY26_LE_Data_March20[[ID]:[ID]],0)),0)+_xlfn.IFNA(INDEX(FY26_LE_Data_March20[Oct. 1, 2024 - SPED Self-Contained],MATCH(Calculations!$A78,FY26_LE_Data_March20[[ID]:[ID]],0)),0))</f>
        <v>1065</v>
      </c>
      <c r="F78" s="1">
        <f t="shared" si="3"/>
        <v>38142.162520782476</v>
      </c>
      <c r="G78" s="7"/>
    </row>
    <row r="79" spans="1:7" x14ac:dyDescent="0.3">
      <c r="A79" s="45" t="s">
        <v>96</v>
      </c>
      <c r="B79" s="46" t="s">
        <v>97</v>
      </c>
      <c r="C79" s="43" t="str">
        <f>_xlfn.IFNA(INDEX(FY26_LE_Data_March20[Type],MATCH(Calculations!$A79,FY26_LE_Data_March20[[ID]:[ID]],0)),0)</f>
        <v>Charter</v>
      </c>
      <c r="D79" s="43" t="s">
        <v>503</v>
      </c>
      <c r="E79" s="58">
        <f>IF(D79="Yes", _xlfn.IFNA(INDEX(FY26_LE_Data_March20[Oct 1, 2025 (CDC) - Grades K-12],MATCH(Calculations!$A79,FY26_LE_Data_March20[[ID]:[ID]],0)),0), _xlfn.IFNA(INDEX(FY26_LE_Data_March20[Oct. 1, 2024 - Grades K-12],MATCH(Calculations!$A79,FY26_LE_Data_March20[[ID]:[ID]],0)),0)+_xlfn.IFNA(INDEX(FY26_LE_Data_March20[Oct. 1, 2024 - SPED Self-Contained],MATCH(Calculations!$A79,FY26_LE_Data_March20[[ID]:[ID]],0)),0))</f>
        <v>1070</v>
      </c>
      <c r="F79" s="1">
        <f t="shared" si="3"/>
        <v>38295.069443900786</v>
      </c>
      <c r="G79" s="7"/>
    </row>
    <row r="80" spans="1:7" x14ac:dyDescent="0.3">
      <c r="A80" s="45" t="s">
        <v>98</v>
      </c>
      <c r="B80" s="46" t="s">
        <v>99</v>
      </c>
      <c r="C80" s="43" t="str">
        <f>_xlfn.IFNA(INDEX(FY26_LE_Data_March20[Type],MATCH(Calculations!$A80,FY26_LE_Data_March20[[ID]:[ID]],0)),0)</f>
        <v>Charter</v>
      </c>
      <c r="D80" s="43" t="s">
        <v>503</v>
      </c>
      <c r="E80" s="58">
        <f>IF(D80="Yes", _xlfn.IFNA(INDEX(FY26_LE_Data_March20[Oct 1, 2025 (CDC) - Grades K-12],MATCH(Calculations!$A80,FY26_LE_Data_March20[[ID]:[ID]],0)),0), _xlfn.IFNA(INDEX(FY26_LE_Data_March20[Oct. 1, 2024 - Grades K-12],MATCH(Calculations!$A80,FY26_LE_Data_March20[[ID]:[ID]],0)),0)+_xlfn.IFNA(INDEX(FY26_LE_Data_March20[Oct. 1, 2024 - SPED Self-Contained],MATCH(Calculations!$A80,FY26_LE_Data_March20[[ID]:[ID]],0)),0))</f>
        <v>1024</v>
      </c>
      <c r="F80" s="1">
        <f t="shared" si="3"/>
        <v>36888.325751212338</v>
      </c>
      <c r="G80" s="7"/>
    </row>
    <row r="81" spans="1:7" x14ac:dyDescent="0.3">
      <c r="A81" s="45" t="s">
        <v>100</v>
      </c>
      <c r="B81" s="46" t="s">
        <v>101</v>
      </c>
      <c r="C81" s="43" t="str">
        <f>_xlfn.IFNA(INDEX(FY26_LE_Data_March20[Type],MATCH(Calculations!$A81,FY26_LE_Data_March20[[ID]:[ID]],0)),0)</f>
        <v>Charter</v>
      </c>
      <c r="D81" s="43" t="s">
        <v>503</v>
      </c>
      <c r="E81" s="58">
        <f>IF(D81="Yes", _xlfn.IFNA(INDEX(FY26_LE_Data_March20[Oct 1, 2025 (CDC) - Grades K-12],MATCH(Calculations!$A81,FY26_LE_Data_March20[[ID]:[ID]],0)),0), _xlfn.IFNA(INDEX(FY26_LE_Data_March20[Oct. 1, 2024 - Grades K-12],MATCH(Calculations!$A81,FY26_LE_Data_March20[[ID]:[ID]],0)),0)+_xlfn.IFNA(INDEX(FY26_LE_Data_March20[Oct. 1, 2024 - SPED Self-Contained],MATCH(Calculations!$A81,FY26_LE_Data_March20[[ID]:[ID]],0)),0))</f>
        <v>1138</v>
      </c>
      <c r="F81" s="1">
        <f t="shared" si="3"/>
        <v>40374.60359830979</v>
      </c>
      <c r="G81" s="7"/>
    </row>
    <row r="82" spans="1:7" x14ac:dyDescent="0.3">
      <c r="A82" s="45" t="s">
        <v>102</v>
      </c>
      <c r="B82" s="46" t="s">
        <v>103</v>
      </c>
      <c r="C82" s="43" t="str">
        <f>_xlfn.IFNA(INDEX(FY26_LE_Data_March20[Type],MATCH(Calculations!$A82,FY26_LE_Data_March20[[ID]:[ID]],0)),0)</f>
        <v>Charter</v>
      </c>
      <c r="D82" s="43" t="s">
        <v>503</v>
      </c>
      <c r="E82" s="58">
        <f>IF(D82="Yes", _xlfn.IFNA(INDEX(FY26_LE_Data_March20[Oct 1, 2025 (CDC) - Grades K-12],MATCH(Calculations!$A82,FY26_LE_Data_March20[[ID]:[ID]],0)),0), _xlfn.IFNA(INDEX(FY26_LE_Data_March20[Oct. 1, 2024 - Grades K-12],MATCH(Calculations!$A82,FY26_LE_Data_March20[[ID]:[ID]],0)),0)+_xlfn.IFNA(INDEX(FY26_LE_Data_March20[Oct. 1, 2024 - SPED Self-Contained],MATCH(Calculations!$A82,FY26_LE_Data_March20[[ID]:[ID]],0)),0))</f>
        <v>663</v>
      </c>
      <c r="F82" s="1">
        <f t="shared" si="3"/>
        <v>25848.44590207042</v>
      </c>
      <c r="G82" s="7"/>
    </row>
    <row r="83" spans="1:7" x14ac:dyDescent="0.3">
      <c r="A83" s="45" t="s">
        <v>104</v>
      </c>
      <c r="B83" s="46" t="s">
        <v>105</v>
      </c>
      <c r="C83" s="43" t="str">
        <f>_xlfn.IFNA(INDEX(FY26_LE_Data_March20[Type],MATCH(Calculations!$A83,FY26_LE_Data_March20[[ID]:[ID]],0)),0)</f>
        <v>Charter</v>
      </c>
      <c r="D83" s="43" t="s">
        <v>503</v>
      </c>
      <c r="E83" s="58">
        <f>IF(D83="Yes", _xlfn.IFNA(INDEX(FY26_LE_Data_March20[Oct 1, 2025 (CDC) - Grades K-12],MATCH(Calculations!$A83,FY26_LE_Data_March20[[ID]:[ID]],0)),0), _xlfn.IFNA(INDEX(FY26_LE_Data_March20[Oct. 1, 2024 - Grades K-12],MATCH(Calculations!$A83,FY26_LE_Data_March20[[ID]:[ID]],0)),0)+_xlfn.IFNA(INDEX(FY26_LE_Data_March20[Oct. 1, 2024 - SPED Self-Contained],MATCH(Calculations!$A83,FY26_LE_Data_March20[[ID]:[ID]],0)),0))</f>
        <v>354</v>
      </c>
      <c r="F83" s="1">
        <f t="shared" si="3"/>
        <v>16398.798053358911</v>
      </c>
      <c r="G83" s="7"/>
    </row>
    <row r="84" spans="1:7" x14ac:dyDescent="0.3">
      <c r="A84" s="45" t="s">
        <v>106</v>
      </c>
      <c r="B84" s="46" t="s">
        <v>107</v>
      </c>
      <c r="C84" s="43" t="str">
        <f>_xlfn.IFNA(INDEX(FY26_LE_Data_March20[Type],MATCH(Calculations!$A84,FY26_LE_Data_March20[[ID]:[ID]],0)),0)</f>
        <v>Charter</v>
      </c>
      <c r="D84" s="43" t="s">
        <v>503</v>
      </c>
      <c r="E84" s="58">
        <f>IF(D84="Yes", _xlfn.IFNA(INDEX(FY26_LE_Data_March20[Oct 1, 2025 (CDC) - Grades K-12],MATCH(Calculations!$A84,FY26_LE_Data_March20[[ID]:[ID]],0)),0), _xlfn.IFNA(INDEX(FY26_LE_Data_March20[Oct. 1, 2024 - Grades K-12],MATCH(Calculations!$A84,FY26_LE_Data_March20[[ID]:[ID]],0)),0)+_xlfn.IFNA(INDEX(FY26_LE_Data_March20[Oct. 1, 2024 - SPED Self-Contained],MATCH(Calculations!$A84,FY26_LE_Data_March20[[ID]:[ID]],0)),0))</f>
        <v>750</v>
      </c>
      <c r="F84" s="1">
        <f t="shared" si="3"/>
        <v>28509.026364328998</v>
      </c>
      <c r="G84" s="7"/>
    </row>
    <row r="85" spans="1:7" x14ac:dyDescent="0.3">
      <c r="A85" s="45" t="s">
        <v>108</v>
      </c>
      <c r="B85" s="46" t="s">
        <v>109</v>
      </c>
      <c r="C85" s="43" t="str">
        <f>_xlfn.IFNA(INDEX(FY26_LE_Data_March20[Type],MATCH(Calculations!$A85,FY26_LE_Data_March20[[ID]:[ID]],0)),0)</f>
        <v>Charter</v>
      </c>
      <c r="D85" s="43" t="s">
        <v>503</v>
      </c>
      <c r="E85" s="58">
        <f>IF(D85="Yes", _xlfn.IFNA(INDEX(FY26_LE_Data_March20[Oct 1, 2025 (CDC) - Grades K-12],MATCH(Calculations!$A85,FY26_LE_Data_March20[[ID]:[ID]],0)),0), _xlfn.IFNA(INDEX(FY26_LE_Data_March20[Oct. 1, 2024 - Grades K-12],MATCH(Calculations!$A85,FY26_LE_Data_March20[[ID]:[ID]],0)),0)+_xlfn.IFNA(INDEX(FY26_LE_Data_March20[Oct. 1, 2024 - SPED Self-Contained],MATCH(Calculations!$A85,FY26_LE_Data_March20[[ID]:[ID]],0)),0))</f>
        <v>605</v>
      </c>
      <c r="F85" s="1">
        <f t="shared" si="3"/>
        <v>24074.725593898031</v>
      </c>
      <c r="G85" s="7"/>
    </row>
    <row r="86" spans="1:7" x14ac:dyDescent="0.3">
      <c r="A86" s="45" t="s">
        <v>110</v>
      </c>
      <c r="B86" s="46" t="s">
        <v>111</v>
      </c>
      <c r="C86" s="43" t="str">
        <f>_xlfn.IFNA(INDEX(FY26_LE_Data_March20[Type],MATCH(Calculations!$A86,FY26_LE_Data_March20[[ID]:[ID]],0)),0)</f>
        <v>Charter</v>
      </c>
      <c r="D86" s="43" t="s">
        <v>503</v>
      </c>
      <c r="E86" s="58">
        <f>IF(D86="Yes", _xlfn.IFNA(INDEX(FY26_LE_Data_March20[Oct 1, 2025 (CDC) - Grades K-12],MATCH(Calculations!$A86,FY26_LE_Data_March20[[ID]:[ID]],0)),0), _xlfn.IFNA(INDEX(FY26_LE_Data_March20[Oct. 1, 2024 - Grades K-12],MATCH(Calculations!$A86,FY26_LE_Data_March20[[ID]:[ID]],0)),0)+_xlfn.IFNA(INDEX(FY26_LE_Data_March20[Oct. 1, 2024 - SPED Self-Contained],MATCH(Calculations!$A86,FY26_LE_Data_March20[[ID]:[ID]],0)),0))</f>
        <v>1939</v>
      </c>
      <c r="F86" s="1">
        <f t="shared" si="3"/>
        <v>64870.29268186292</v>
      </c>
      <c r="G86" s="7"/>
    </row>
    <row r="87" spans="1:7" x14ac:dyDescent="0.3">
      <c r="A87" s="45" t="s">
        <v>112</v>
      </c>
      <c r="B87" s="46" t="s">
        <v>113</v>
      </c>
      <c r="C87" s="43" t="str">
        <f>_xlfn.IFNA(INDEX(FY26_LE_Data_March20[Type],MATCH(Calculations!$A87,FY26_LE_Data_March20[[ID]:[ID]],0)),0)</f>
        <v>Charter</v>
      </c>
      <c r="D87" s="43" t="s">
        <v>503</v>
      </c>
      <c r="E87" s="58">
        <f>IF(D87="Yes", _xlfn.IFNA(INDEX(FY26_LE_Data_March20[Oct 1, 2025 (CDC) - Grades K-12],MATCH(Calculations!$A87,FY26_LE_Data_March20[[ID]:[ID]],0)),0), _xlfn.IFNA(INDEX(FY26_LE_Data_March20[Oct. 1, 2024 - Grades K-12],MATCH(Calculations!$A87,FY26_LE_Data_March20[[ID]:[ID]],0)),0)+_xlfn.IFNA(INDEX(FY26_LE_Data_March20[Oct. 1, 2024 - SPED Self-Contained],MATCH(Calculations!$A87,FY26_LE_Data_March20[[ID]:[ID]],0)),0))</f>
        <v>1733</v>
      </c>
      <c r="F87" s="1">
        <f t="shared" si="3"/>
        <v>58570.527449388581</v>
      </c>
      <c r="G87" s="7"/>
    </row>
    <row r="88" spans="1:7" x14ac:dyDescent="0.3">
      <c r="A88" s="45" t="s">
        <v>114</v>
      </c>
      <c r="B88" s="46" t="s">
        <v>115</v>
      </c>
      <c r="C88" s="43" t="str">
        <f>_xlfn.IFNA(INDEX(FY26_LE_Data_March20[Type],MATCH(Calculations!$A88,FY26_LE_Data_March20[[ID]:[ID]],0)),0)</f>
        <v>Charter</v>
      </c>
      <c r="D88" s="43" t="s">
        <v>503</v>
      </c>
      <c r="E88" s="58">
        <f>IF(D88="Yes", _xlfn.IFNA(INDEX(FY26_LE_Data_March20[Oct 1, 2025 (CDC) - Grades K-12],MATCH(Calculations!$A88,FY26_LE_Data_March20[[ID]:[ID]],0)),0), _xlfn.IFNA(INDEX(FY26_LE_Data_March20[Oct. 1, 2024 - Grades K-12],MATCH(Calculations!$A88,FY26_LE_Data_March20[[ID]:[ID]],0)),0)+_xlfn.IFNA(INDEX(FY26_LE_Data_March20[Oct. 1, 2024 - SPED Self-Contained],MATCH(Calculations!$A88,FY26_LE_Data_March20[[ID]:[ID]],0)),0))</f>
        <v>1029</v>
      </c>
      <c r="F88" s="1">
        <f t="shared" si="3"/>
        <v>37041.232674330648</v>
      </c>
      <c r="G88" s="7"/>
    </row>
    <row r="89" spans="1:7" x14ac:dyDescent="0.3">
      <c r="A89" s="45" t="s">
        <v>116</v>
      </c>
      <c r="B89" s="46" t="s">
        <v>117</v>
      </c>
      <c r="C89" s="43" t="str">
        <f>_xlfn.IFNA(INDEX(FY26_LE_Data_March20[Type],MATCH(Calculations!$A89,FY26_LE_Data_March20[[ID]:[ID]],0)),0)</f>
        <v>Charter</v>
      </c>
      <c r="D89" s="43" t="s">
        <v>503</v>
      </c>
      <c r="E89" s="58">
        <f>IF(D89="Yes", _xlfn.IFNA(INDEX(FY26_LE_Data_March20[Oct 1, 2025 (CDC) - Grades K-12],MATCH(Calculations!$A89,FY26_LE_Data_March20[[ID]:[ID]],0)),0), _xlfn.IFNA(INDEX(FY26_LE_Data_March20[Oct. 1, 2024 - Grades K-12],MATCH(Calculations!$A89,FY26_LE_Data_March20[[ID]:[ID]],0)),0)+_xlfn.IFNA(INDEX(FY26_LE_Data_March20[Oct. 1, 2024 - SPED Self-Contained],MATCH(Calculations!$A89,FY26_LE_Data_March20[[ID]:[ID]],0)),0))</f>
        <v>530</v>
      </c>
      <c r="F89" s="1">
        <f t="shared" si="3"/>
        <v>21781.121747123394</v>
      </c>
      <c r="G89" s="7"/>
    </row>
    <row r="90" spans="1:7" x14ac:dyDescent="0.3">
      <c r="A90" s="45" t="s">
        <v>119</v>
      </c>
      <c r="B90" s="46" t="s">
        <v>120</v>
      </c>
      <c r="C90" s="43" t="str">
        <f>_xlfn.IFNA(INDEX(FY26_LE_Data_March20[Type],MATCH(Calculations!$A90,FY26_LE_Data_March20[[ID]:[ID]],0)),0)</f>
        <v>Charter</v>
      </c>
      <c r="D90" s="43" t="s">
        <v>503</v>
      </c>
      <c r="E90" s="58">
        <f>IF(D90="Yes", _xlfn.IFNA(INDEX(FY26_LE_Data_March20[Oct 1, 2025 (CDC) - Grades K-12],MATCH(Calculations!$A90,FY26_LE_Data_March20[[ID]:[ID]],0)),0), _xlfn.IFNA(INDEX(FY26_LE_Data_March20[Oct. 1, 2024 - Grades K-12],MATCH(Calculations!$A90,FY26_LE_Data_March20[[ID]:[ID]],0)),0)+_xlfn.IFNA(INDEX(FY26_LE_Data_March20[Oct. 1, 2024 - SPED Self-Contained],MATCH(Calculations!$A90,FY26_LE_Data_March20[[ID]:[ID]],0)),0))</f>
        <v>280</v>
      </c>
      <c r="F90" s="1">
        <f t="shared" si="3"/>
        <v>14135.775591207934</v>
      </c>
      <c r="G90" s="7"/>
    </row>
    <row r="91" spans="1:7" x14ac:dyDescent="0.3">
      <c r="A91" s="45" t="s">
        <v>121</v>
      </c>
      <c r="B91" s="46" t="s">
        <v>122</v>
      </c>
      <c r="C91" s="43" t="str">
        <f>_xlfn.IFNA(INDEX(FY26_LE_Data_March20[Type],MATCH(Calculations!$A91,FY26_LE_Data_March20[[ID]:[ID]],0)),0)</f>
        <v>Charter</v>
      </c>
      <c r="D91" s="43" t="s">
        <v>503</v>
      </c>
      <c r="E91" s="58">
        <f>IF(D91="Yes", _xlfn.IFNA(INDEX(FY26_LE_Data_March20[Oct 1, 2025 (CDC) - Grades K-12],MATCH(Calculations!$A91,FY26_LE_Data_March20[[ID]:[ID]],0)),0), _xlfn.IFNA(INDEX(FY26_LE_Data_March20[Oct. 1, 2024 - Grades K-12],MATCH(Calculations!$A91,FY26_LE_Data_March20[[ID]:[ID]],0)),0)+_xlfn.IFNA(INDEX(FY26_LE_Data_March20[Oct. 1, 2024 - SPED Self-Contained],MATCH(Calculations!$A91,FY26_LE_Data_March20[[ID]:[ID]],0)),0))</f>
        <v>527</v>
      </c>
      <c r="F91" s="1">
        <f t="shared" si="3"/>
        <v>21689.377593252408</v>
      </c>
      <c r="G91" s="7"/>
    </row>
    <row r="92" spans="1:7" x14ac:dyDescent="0.3">
      <c r="A92" s="45" t="s">
        <v>123</v>
      </c>
      <c r="B92" s="46" t="s">
        <v>124</v>
      </c>
      <c r="C92" s="43" t="str">
        <f>_xlfn.IFNA(INDEX(FY26_LE_Data_March20[Type],MATCH(Calculations!$A92,FY26_LE_Data_March20[[ID]:[ID]],0)),0)</f>
        <v>Charter</v>
      </c>
      <c r="D92" s="43" t="s">
        <v>503</v>
      </c>
      <c r="E92" s="58">
        <f>IF(D92="Yes", _xlfn.IFNA(INDEX(FY26_LE_Data_March20[Oct 1, 2025 (CDC) - Grades K-12],MATCH(Calculations!$A92,FY26_LE_Data_March20[[ID]:[ID]],0)),0), _xlfn.IFNA(INDEX(FY26_LE_Data_March20[Oct. 1, 2024 - Grades K-12],MATCH(Calculations!$A92,FY26_LE_Data_March20[[ID]:[ID]],0)),0)+_xlfn.IFNA(INDEX(FY26_LE_Data_March20[Oct. 1, 2024 - SPED Self-Contained],MATCH(Calculations!$A92,FY26_LE_Data_March20[[ID]:[ID]],0)),0))</f>
        <v>292</v>
      </c>
      <c r="F92" s="1">
        <f t="shared" si="3"/>
        <v>14502.752206691875</v>
      </c>
      <c r="G92" s="7"/>
    </row>
    <row r="93" spans="1:7" x14ac:dyDescent="0.3">
      <c r="A93" s="45" t="s">
        <v>125</v>
      </c>
      <c r="B93" s="46" t="s">
        <v>126</v>
      </c>
      <c r="C93" s="43" t="str">
        <f>_xlfn.IFNA(INDEX(FY26_LE_Data_March20[Type],MATCH(Calculations!$A93,FY26_LE_Data_March20[[ID]:[ID]],0)),0)</f>
        <v>Charter</v>
      </c>
      <c r="D93" s="43" t="s">
        <v>503</v>
      </c>
      <c r="E93" s="58">
        <f>IF(D93="Yes", _xlfn.IFNA(INDEX(FY26_LE_Data_March20[Oct 1, 2025 (CDC) - Grades K-12],MATCH(Calculations!$A93,FY26_LE_Data_March20[[ID]:[ID]],0)),0), _xlfn.IFNA(INDEX(FY26_LE_Data_March20[Oct. 1, 2024 - Grades K-12],MATCH(Calculations!$A93,FY26_LE_Data_March20[[ID]:[ID]],0)),0)+_xlfn.IFNA(INDEX(FY26_LE_Data_March20[Oct. 1, 2024 - SPED Self-Contained],MATCH(Calculations!$A93,FY26_LE_Data_March20[[ID]:[ID]],0)),0))</f>
        <v>655</v>
      </c>
      <c r="F93" s="1">
        <f t="shared" si="3"/>
        <v>25603.794825081124</v>
      </c>
      <c r="G93" s="7"/>
    </row>
    <row r="94" spans="1:7" x14ac:dyDescent="0.3">
      <c r="A94" s="45" t="s">
        <v>127</v>
      </c>
      <c r="B94" s="46" t="s">
        <v>128</v>
      </c>
      <c r="C94" s="43" t="str">
        <f>_xlfn.IFNA(INDEX(FY26_LE_Data_March20[Type],MATCH(Calculations!$A94,FY26_LE_Data_March20[[ID]:[ID]],0)),0)</f>
        <v>Charter</v>
      </c>
      <c r="D94" s="43" t="s">
        <v>503</v>
      </c>
      <c r="E94" s="58">
        <f>IF(D94="Yes", _xlfn.IFNA(INDEX(FY26_LE_Data_March20[Oct 1, 2025 (CDC) - Grades K-12],MATCH(Calculations!$A94,FY26_LE_Data_March20[[ID]:[ID]],0)),0), _xlfn.IFNA(INDEX(FY26_LE_Data_March20[Oct. 1, 2024 - Grades K-12],MATCH(Calculations!$A94,FY26_LE_Data_March20[[ID]:[ID]],0)),0)+_xlfn.IFNA(INDEX(FY26_LE_Data_March20[Oct. 1, 2024 - SPED Self-Contained],MATCH(Calculations!$A94,FY26_LE_Data_March20[[ID]:[ID]],0)),0))</f>
        <v>229</v>
      </c>
      <c r="F94" s="1">
        <f t="shared" si="3"/>
        <v>12576.124975401181</v>
      </c>
      <c r="G94" s="7"/>
    </row>
    <row r="95" spans="1:7" x14ac:dyDescent="0.3">
      <c r="A95" s="45" t="s">
        <v>129</v>
      </c>
      <c r="B95" s="46" t="s">
        <v>130</v>
      </c>
      <c r="C95" s="43" t="str">
        <f>_xlfn.IFNA(INDEX(FY26_LE_Data_March20[Type],MATCH(Calculations!$A95,FY26_LE_Data_March20[[ID]:[ID]],0)),0)</f>
        <v>Charter</v>
      </c>
      <c r="D95" s="43" t="s">
        <v>503</v>
      </c>
      <c r="E95" s="58">
        <f>IF(D95="Yes", _xlfn.IFNA(INDEX(FY26_LE_Data_March20[Oct 1, 2025 (CDC) - Grades K-12],MATCH(Calculations!$A95,FY26_LE_Data_March20[[ID]:[ID]],0)),0), _xlfn.IFNA(INDEX(FY26_LE_Data_March20[Oct. 1, 2024 - Grades K-12],MATCH(Calculations!$A95,FY26_LE_Data_March20[[ID]:[ID]],0)),0)+_xlfn.IFNA(INDEX(FY26_LE_Data_March20[Oct. 1, 2024 - SPED Self-Contained],MATCH(Calculations!$A95,FY26_LE_Data_March20[[ID]:[ID]],0)),0))</f>
        <v>436</v>
      </c>
      <c r="F95" s="1">
        <f t="shared" si="3"/>
        <v>18906.47159249918</v>
      </c>
      <c r="G95" s="7"/>
    </row>
    <row r="96" spans="1:7" x14ac:dyDescent="0.3">
      <c r="A96" s="45" t="s">
        <v>131</v>
      </c>
      <c r="B96" s="46" t="s">
        <v>132</v>
      </c>
      <c r="C96" s="43" t="str">
        <f>_xlfn.IFNA(INDEX(FY26_LE_Data_March20[Type],MATCH(Calculations!$A96,FY26_LE_Data_March20[[ID]:[ID]],0)),0)</f>
        <v>Charter</v>
      </c>
      <c r="D96" s="43" t="s">
        <v>503</v>
      </c>
      <c r="E96" s="58">
        <f>IF(D96="Yes", _xlfn.IFNA(INDEX(FY26_LE_Data_March20[Oct 1, 2025 (CDC) - Grades K-12],MATCH(Calculations!$A96,FY26_LE_Data_March20[[ID]:[ID]],0)),0), _xlfn.IFNA(INDEX(FY26_LE_Data_March20[Oct. 1, 2024 - Grades K-12],MATCH(Calculations!$A96,FY26_LE_Data_March20[[ID]:[ID]],0)),0)+_xlfn.IFNA(INDEX(FY26_LE_Data_March20[Oct. 1, 2024 - SPED Self-Contained],MATCH(Calculations!$A96,FY26_LE_Data_March20[[ID]:[ID]],0)),0))</f>
        <v>366</v>
      </c>
      <c r="F96" s="1">
        <f t="shared" si="3"/>
        <v>16765.774668842852</v>
      </c>
      <c r="G96" s="7"/>
    </row>
    <row r="97" spans="1:7" x14ac:dyDescent="0.3">
      <c r="A97" s="45" t="s">
        <v>133</v>
      </c>
      <c r="B97" s="47" t="s">
        <v>134</v>
      </c>
      <c r="C97" s="43" t="str">
        <f>_xlfn.IFNA(INDEX(FY26_LE_Data_March20[Type],MATCH(Calculations!$A97,FY26_LE_Data_March20[[ID]:[ID]],0)),0)</f>
        <v>Charter</v>
      </c>
      <c r="D97" s="43" t="s">
        <v>503</v>
      </c>
      <c r="E97" s="58">
        <f>IF(D97="Yes", _xlfn.IFNA(INDEX(FY26_LE_Data_March20[Oct 1, 2025 (CDC) - Grades K-12],MATCH(Calculations!$A97,FY26_LE_Data_March20[[ID]:[ID]],0)),0), _xlfn.IFNA(INDEX(FY26_LE_Data_March20[Oct. 1, 2024 - Grades K-12],MATCH(Calculations!$A97,FY26_LE_Data_March20[[ID]:[ID]],0)),0)+_xlfn.IFNA(INDEX(FY26_LE_Data_March20[Oct. 1, 2024 - SPED Self-Contained],MATCH(Calculations!$A97,FY26_LE_Data_March20[[ID]:[ID]],0)),0))</f>
        <v>754</v>
      </c>
      <c r="F97" s="1">
        <f t="shared" si="3"/>
        <v>28631.351902823644</v>
      </c>
      <c r="G97" s="7"/>
    </row>
    <row r="98" spans="1:7" x14ac:dyDescent="0.3">
      <c r="A98" s="45" t="s">
        <v>135</v>
      </c>
      <c r="B98" s="47" t="s">
        <v>136</v>
      </c>
      <c r="C98" s="43" t="str">
        <f>_xlfn.IFNA(INDEX(FY26_LE_Data_March20[Type],MATCH(Calculations!$A98,FY26_LE_Data_March20[[ID]:[ID]],0)),0)</f>
        <v>Charter</v>
      </c>
      <c r="D98" s="43" t="s">
        <v>503</v>
      </c>
      <c r="E98" s="58">
        <f>IF(D98="Yes", _xlfn.IFNA(INDEX(FY26_LE_Data_March20[Oct 1, 2025 (CDC) - Grades K-12],MATCH(Calculations!$A98,FY26_LE_Data_March20[[ID]:[ID]],0)),0), _xlfn.IFNA(INDEX(FY26_LE_Data_March20[Oct. 1, 2024 - Grades K-12],MATCH(Calculations!$A98,FY26_LE_Data_March20[[ID]:[ID]],0)),0)+_xlfn.IFNA(INDEX(FY26_LE_Data_March20[Oct. 1, 2024 - SPED Self-Contained],MATCH(Calculations!$A98,FY26_LE_Data_March20[[ID]:[ID]],0)),0))</f>
        <v>462</v>
      </c>
      <c r="F98" s="1">
        <f t="shared" si="3"/>
        <v>19701.58759271439</v>
      </c>
      <c r="G98" s="7"/>
    </row>
    <row r="99" spans="1:7" x14ac:dyDescent="0.3">
      <c r="A99" s="45" t="s">
        <v>137</v>
      </c>
      <c r="B99" s="47" t="s">
        <v>138</v>
      </c>
      <c r="C99" s="43" t="str">
        <f>_xlfn.IFNA(INDEX(FY26_LE_Data_March20[Type],MATCH(Calculations!$A99,FY26_LE_Data_March20[[ID]:[ID]],0)),0)</f>
        <v>Charter</v>
      </c>
      <c r="D99" s="43" t="s">
        <v>503</v>
      </c>
      <c r="E99" s="58">
        <f>IF(D99="Yes", _xlfn.IFNA(INDEX(FY26_LE_Data_March20[Oct 1, 2025 (CDC) - Grades K-12],MATCH(Calculations!$A99,FY26_LE_Data_March20[[ID]:[ID]],0)),0), _xlfn.IFNA(INDEX(FY26_LE_Data_March20[Oct. 1, 2024 - Grades K-12],MATCH(Calculations!$A99,FY26_LE_Data_March20[[ID]:[ID]],0)),0)+_xlfn.IFNA(INDEX(FY26_LE_Data_March20[Oct. 1, 2024 - SPED Self-Contained],MATCH(Calculations!$A99,FY26_LE_Data_March20[[ID]:[ID]],0)),0))</f>
        <v>2047</v>
      </c>
      <c r="F99" s="1">
        <f t="shared" si="3"/>
        <v>68173.082221218399</v>
      </c>
      <c r="G99" s="7"/>
    </row>
    <row r="100" spans="1:7" x14ac:dyDescent="0.3">
      <c r="A100" s="45" t="s">
        <v>139</v>
      </c>
      <c r="B100" s="47" t="s">
        <v>140</v>
      </c>
      <c r="C100" s="43" t="str">
        <f>_xlfn.IFNA(INDEX(FY26_LE_Data_March20[Type],MATCH(Calculations!$A100,FY26_LE_Data_March20[[ID]:[ID]],0)),0)</f>
        <v>Charter</v>
      </c>
      <c r="D100" s="43" t="s">
        <v>503</v>
      </c>
      <c r="E100" s="58">
        <f>IF(D100="Yes", _xlfn.IFNA(INDEX(FY26_LE_Data_March20[Oct 1, 2025 (CDC) - Grades K-12],MATCH(Calculations!$A100,FY26_LE_Data_March20[[ID]:[ID]],0)),0), _xlfn.IFNA(INDEX(FY26_LE_Data_March20[Oct. 1, 2024 - Grades K-12],MATCH(Calculations!$A100,FY26_LE_Data_March20[[ID]:[ID]],0)),0)+_xlfn.IFNA(INDEX(FY26_LE_Data_March20[Oct. 1, 2024 - SPED Self-Contained],MATCH(Calculations!$A100,FY26_LE_Data_March20[[ID]:[ID]],0)),0))</f>
        <v>1019</v>
      </c>
      <c r="F100" s="1">
        <f t="shared" si="3"/>
        <v>36735.418828094029</v>
      </c>
      <c r="G100" s="7"/>
    </row>
    <row r="101" spans="1:7" x14ac:dyDescent="0.3">
      <c r="A101" s="45" t="s">
        <v>141</v>
      </c>
      <c r="B101" s="47" t="s">
        <v>142</v>
      </c>
      <c r="C101" s="43" t="str">
        <f>_xlfn.IFNA(INDEX(FY26_LE_Data_March20[Type],MATCH(Calculations!$A101,FY26_LE_Data_March20[[ID]:[ID]],0)),0)</f>
        <v>Charter</v>
      </c>
      <c r="D101" s="43" t="s">
        <v>503</v>
      </c>
      <c r="E101" s="58">
        <f>IF(D101="Yes", _xlfn.IFNA(INDEX(FY26_LE_Data_March20[Oct 1, 2025 (CDC) - Grades K-12],MATCH(Calculations!$A101,FY26_LE_Data_March20[[ID]:[ID]],0)),0), _xlfn.IFNA(INDEX(FY26_LE_Data_March20[Oct. 1, 2024 - Grades K-12],MATCH(Calculations!$A101,FY26_LE_Data_March20[[ID]:[ID]],0)),0)+_xlfn.IFNA(INDEX(FY26_LE_Data_March20[Oct. 1, 2024 - SPED Self-Contained],MATCH(Calculations!$A101,FY26_LE_Data_March20[[ID]:[ID]],0)),0))</f>
        <v>289</v>
      </c>
      <c r="F101" s="1">
        <f t="shared" si="3"/>
        <v>14411.008052820889</v>
      </c>
      <c r="G101" s="7"/>
    </row>
    <row r="102" spans="1:7" x14ac:dyDescent="0.3">
      <c r="A102" s="45" t="s">
        <v>143</v>
      </c>
      <c r="B102" s="47" t="s">
        <v>144</v>
      </c>
      <c r="C102" s="43" t="str">
        <f>_xlfn.IFNA(INDEX(FY26_LE_Data_March20[Type],MATCH(Calculations!$A102,FY26_LE_Data_March20[[ID]:[ID]],0)),0)</f>
        <v>Charter</v>
      </c>
      <c r="D102" s="43" t="s">
        <v>503</v>
      </c>
      <c r="E102" s="58">
        <f>IF(D102="Yes", _xlfn.IFNA(INDEX(FY26_LE_Data_March20[Oct 1, 2025 (CDC) - Grades K-12],MATCH(Calculations!$A102,FY26_LE_Data_March20[[ID]:[ID]],0)),0), _xlfn.IFNA(INDEX(FY26_LE_Data_March20[Oct. 1, 2024 - Grades K-12],MATCH(Calculations!$A102,FY26_LE_Data_March20[[ID]:[ID]],0)),0)+_xlfn.IFNA(INDEX(FY26_LE_Data_March20[Oct. 1, 2024 - SPED Self-Contained],MATCH(Calculations!$A102,FY26_LE_Data_March20[[ID]:[ID]],0)),0))</f>
        <v>802</v>
      </c>
      <c r="F102" s="1">
        <f t="shared" si="3"/>
        <v>30099.258364759415</v>
      </c>
      <c r="G102" s="7"/>
    </row>
    <row r="103" spans="1:7" x14ac:dyDescent="0.3">
      <c r="A103" s="45" t="s">
        <v>145</v>
      </c>
      <c r="B103" s="46" t="s">
        <v>146</v>
      </c>
      <c r="C103" s="43" t="str">
        <f>_xlfn.IFNA(INDEX(FY26_LE_Data_March20[Type],MATCH(Calculations!$A103,FY26_LE_Data_March20[[ID]:[ID]],0)),0)</f>
        <v>Charter</v>
      </c>
      <c r="D103" s="43" t="s">
        <v>503</v>
      </c>
      <c r="E103" s="58">
        <f>IF(D103="Yes", _xlfn.IFNA(INDEX(FY26_LE_Data_March20[Oct 1, 2025 (CDC) - Grades K-12],MATCH(Calculations!$A103,FY26_LE_Data_March20[[ID]:[ID]],0)),0), _xlfn.IFNA(INDEX(FY26_LE_Data_March20[Oct. 1, 2024 - Grades K-12],MATCH(Calculations!$A103,FY26_LE_Data_March20[[ID]:[ID]],0)),0)+_xlfn.IFNA(INDEX(FY26_LE_Data_March20[Oct. 1, 2024 - SPED Self-Contained],MATCH(Calculations!$A103,FY26_LE_Data_March20[[ID]:[ID]],0)),0))</f>
        <v>373</v>
      </c>
      <c r="F103" s="1">
        <f t="shared" ref="F103:F134" si="4">IF(OR(C103="District",C103="Other"),$E$176+(E103*$E$177),$E$169+(E103*$E$170))</f>
        <v>16979.844361208485</v>
      </c>
      <c r="G103" s="7"/>
    </row>
    <row r="104" spans="1:7" x14ac:dyDescent="0.3">
      <c r="A104" s="45" t="s">
        <v>147</v>
      </c>
      <c r="B104" s="46" t="s">
        <v>148</v>
      </c>
      <c r="C104" s="43" t="str">
        <f>_xlfn.IFNA(INDEX(FY26_LE_Data_March20[Type],MATCH(Calculations!$A104,FY26_LE_Data_March20[[ID]:[ID]],0)),0)</f>
        <v>Charter</v>
      </c>
      <c r="D104" s="43" t="s">
        <v>503</v>
      </c>
      <c r="E104" s="58">
        <f>IF(D104="Yes", _xlfn.IFNA(INDEX(FY26_LE_Data_March20[Oct 1, 2025 (CDC) - Grades K-12],MATCH(Calculations!$A104,FY26_LE_Data_March20[[ID]:[ID]],0)),0), _xlfn.IFNA(INDEX(FY26_LE_Data_March20[Oct. 1, 2024 - Grades K-12],MATCH(Calculations!$A104,FY26_LE_Data_March20[[ID]:[ID]],0)),0)+_xlfn.IFNA(INDEX(FY26_LE_Data_March20[Oct. 1, 2024 - SPED Self-Contained],MATCH(Calculations!$A104,FY26_LE_Data_March20[[ID]:[ID]],0)),0))</f>
        <v>1932</v>
      </c>
      <c r="F104" s="1">
        <f t="shared" si="4"/>
        <v>64656.222989497292</v>
      </c>
      <c r="G104" s="7"/>
    </row>
    <row r="105" spans="1:7" x14ac:dyDescent="0.3">
      <c r="A105" s="45" t="s">
        <v>149</v>
      </c>
      <c r="B105" s="46" t="s">
        <v>150</v>
      </c>
      <c r="C105" s="43" t="str">
        <f>_xlfn.IFNA(INDEX(FY26_LE_Data_March20[Type],MATCH(Calculations!$A105,FY26_LE_Data_March20[[ID]:[ID]],0)),0)</f>
        <v>Charter</v>
      </c>
      <c r="D105" s="43" t="s">
        <v>503</v>
      </c>
      <c r="E105" s="58">
        <f>IF(D105="Yes", _xlfn.IFNA(INDEX(FY26_LE_Data_March20[Oct 1, 2025 (CDC) - Grades K-12],MATCH(Calculations!$A105,FY26_LE_Data_March20[[ID]:[ID]],0)),0), _xlfn.IFNA(INDEX(FY26_LE_Data_March20[Oct. 1, 2024 - Grades K-12],MATCH(Calculations!$A105,FY26_LE_Data_March20[[ID]:[ID]],0)),0)+_xlfn.IFNA(INDEX(FY26_LE_Data_March20[Oct. 1, 2024 - SPED Self-Contained],MATCH(Calculations!$A105,FY26_LE_Data_March20[[ID]:[ID]],0)),0))</f>
        <v>1028</v>
      </c>
      <c r="F105" s="1">
        <f t="shared" si="4"/>
        <v>37010.651289706984</v>
      </c>
      <c r="G105" s="7"/>
    </row>
    <row r="106" spans="1:7" x14ac:dyDescent="0.3">
      <c r="A106" s="45" t="s">
        <v>151</v>
      </c>
      <c r="B106" s="46" t="s">
        <v>152</v>
      </c>
      <c r="C106" s="43" t="str">
        <f>_xlfn.IFNA(INDEX(FY26_LE_Data_March20[Type],MATCH(Calculations!$A106,FY26_LE_Data_March20[[ID]:[ID]],0)),0)</f>
        <v>Charter</v>
      </c>
      <c r="D106" s="43" t="s">
        <v>503</v>
      </c>
      <c r="E106" s="58">
        <f>IF(D106="Yes", _xlfn.IFNA(INDEX(FY26_LE_Data_March20[Oct 1, 2025 (CDC) - Grades K-12],MATCH(Calculations!$A106,FY26_LE_Data_March20[[ID]:[ID]],0)),0), _xlfn.IFNA(INDEX(FY26_LE_Data_March20[Oct. 1, 2024 - Grades K-12],MATCH(Calculations!$A106,FY26_LE_Data_March20[[ID]:[ID]],0)),0)+_xlfn.IFNA(INDEX(FY26_LE_Data_March20[Oct. 1, 2024 - SPED Self-Contained],MATCH(Calculations!$A106,FY26_LE_Data_March20[[ID]:[ID]],0)),0))</f>
        <v>1416</v>
      </c>
      <c r="F106" s="1">
        <f t="shared" si="4"/>
        <v>48876.22852368778</v>
      </c>
      <c r="G106" s="7"/>
    </row>
    <row r="107" spans="1:7" x14ac:dyDescent="0.3">
      <c r="A107" s="45" t="s">
        <v>153</v>
      </c>
      <c r="B107" s="46" t="s">
        <v>154</v>
      </c>
      <c r="C107" s="43" t="str">
        <f>_xlfn.IFNA(INDEX(FY26_LE_Data_March20[Type],MATCH(Calculations!$A107,FY26_LE_Data_March20[[ID]:[ID]],0)),0)</f>
        <v>Charter</v>
      </c>
      <c r="D107" s="43" t="s">
        <v>503</v>
      </c>
      <c r="E107" s="58">
        <f>IF(D107="Yes", _xlfn.IFNA(INDEX(FY26_LE_Data_March20[Oct 1, 2025 (CDC) - Grades K-12],MATCH(Calculations!$A107,FY26_LE_Data_March20[[ID]:[ID]],0)),0), _xlfn.IFNA(INDEX(FY26_LE_Data_March20[Oct. 1, 2024 - Grades K-12],MATCH(Calculations!$A107,FY26_LE_Data_March20[[ID]:[ID]],0)),0)+_xlfn.IFNA(INDEX(FY26_LE_Data_March20[Oct. 1, 2024 - SPED Self-Contained],MATCH(Calculations!$A107,FY26_LE_Data_March20[[ID]:[ID]],0)),0))</f>
        <v>1375</v>
      </c>
      <c r="F107" s="1">
        <f t="shared" si="4"/>
        <v>47622.391754117649</v>
      </c>
      <c r="G107" s="7"/>
    </row>
    <row r="108" spans="1:7" x14ac:dyDescent="0.3">
      <c r="A108" s="45" t="s">
        <v>155</v>
      </c>
      <c r="B108" s="46" t="s">
        <v>156</v>
      </c>
      <c r="C108" s="43" t="str">
        <f>_xlfn.IFNA(INDEX(FY26_LE_Data_March20[Type],MATCH(Calculations!$A108,FY26_LE_Data_March20[[ID]:[ID]],0)),0)</f>
        <v>Charter</v>
      </c>
      <c r="D108" s="43" t="s">
        <v>503</v>
      </c>
      <c r="E108" s="58">
        <f>IF(D108="Yes", _xlfn.IFNA(INDEX(FY26_LE_Data_March20[Oct 1, 2025 (CDC) - Grades K-12],MATCH(Calculations!$A108,FY26_LE_Data_March20[[ID]:[ID]],0)),0), _xlfn.IFNA(INDEX(FY26_LE_Data_March20[Oct. 1, 2024 - Grades K-12],MATCH(Calculations!$A108,FY26_LE_Data_March20[[ID]:[ID]],0)),0)+_xlfn.IFNA(INDEX(FY26_LE_Data_March20[Oct. 1, 2024 - SPED Self-Contained],MATCH(Calculations!$A108,FY26_LE_Data_March20[[ID]:[ID]],0)),0))</f>
        <v>902</v>
      </c>
      <c r="F108" s="1">
        <f t="shared" si="4"/>
        <v>33157.396827125594</v>
      </c>
      <c r="G108" s="7"/>
    </row>
    <row r="109" spans="1:7" x14ac:dyDescent="0.3">
      <c r="A109" s="45" t="s">
        <v>157</v>
      </c>
      <c r="B109" s="46" t="s">
        <v>158</v>
      </c>
      <c r="C109" s="43" t="str">
        <f>_xlfn.IFNA(INDEX(FY26_LE_Data_March20[Type],MATCH(Calculations!$A109,FY26_LE_Data_March20[[ID]:[ID]],0)),0)</f>
        <v>Charter</v>
      </c>
      <c r="D109" s="43" t="s">
        <v>503</v>
      </c>
      <c r="E109" s="58">
        <f>IF(D109="Yes", _xlfn.IFNA(INDEX(FY26_LE_Data_March20[Oct 1, 2025 (CDC) - Grades K-12],MATCH(Calculations!$A109,FY26_LE_Data_March20[[ID]:[ID]],0)),0), _xlfn.IFNA(INDEX(FY26_LE_Data_March20[Oct. 1, 2024 - Grades K-12],MATCH(Calculations!$A109,FY26_LE_Data_March20[[ID]:[ID]],0)),0)+_xlfn.IFNA(INDEX(FY26_LE_Data_March20[Oct. 1, 2024 - SPED Self-Contained],MATCH(Calculations!$A109,FY26_LE_Data_March20[[ID]:[ID]],0)),0))</f>
        <v>506</v>
      </c>
      <c r="F109" s="1">
        <f t="shared" si="4"/>
        <v>21047.168516155511</v>
      </c>
      <c r="G109" s="7"/>
    </row>
    <row r="110" spans="1:7" x14ac:dyDescent="0.3">
      <c r="A110" s="45" t="s">
        <v>159</v>
      </c>
      <c r="B110" s="46" t="s">
        <v>160</v>
      </c>
      <c r="C110" s="43" t="str">
        <f>_xlfn.IFNA(INDEX(FY26_LE_Data_March20[Type],MATCH(Calculations!$A110,FY26_LE_Data_March20[[ID]:[ID]],0)),0)</f>
        <v>Charter</v>
      </c>
      <c r="D110" s="43" t="s">
        <v>503</v>
      </c>
      <c r="E110" s="58">
        <f>IF(D110="Yes", _xlfn.IFNA(INDEX(FY26_LE_Data_March20[Oct 1, 2025 (CDC) - Grades K-12],MATCH(Calculations!$A110,FY26_LE_Data_March20[[ID]:[ID]],0)),0), _xlfn.IFNA(INDEX(FY26_LE_Data_March20[Oct. 1, 2024 - Grades K-12],MATCH(Calculations!$A110,FY26_LE_Data_March20[[ID]:[ID]],0)),0)+_xlfn.IFNA(INDEX(FY26_LE_Data_March20[Oct. 1, 2024 - SPED Self-Contained],MATCH(Calculations!$A110,FY26_LE_Data_March20[[ID]:[ID]],0)),0))</f>
        <v>1120</v>
      </c>
      <c r="F110" s="1">
        <f t="shared" si="4"/>
        <v>39824.138675083879</v>
      </c>
      <c r="G110" s="7"/>
    </row>
    <row r="111" spans="1:7" x14ac:dyDescent="0.3">
      <c r="A111" s="45" t="s">
        <v>161</v>
      </c>
      <c r="B111" s="46" t="s">
        <v>162</v>
      </c>
      <c r="C111" s="43" t="str">
        <f>_xlfn.IFNA(INDEX(FY26_LE_Data_March20[Type],MATCH(Calculations!$A111,FY26_LE_Data_March20[[ID]:[ID]],0)),0)</f>
        <v>Charter</v>
      </c>
      <c r="D111" s="43" t="s">
        <v>503</v>
      </c>
      <c r="E111" s="58">
        <f>IF(D111="Yes", _xlfn.IFNA(INDEX(FY26_LE_Data_March20[Oct 1, 2025 (CDC) - Grades K-12],MATCH(Calculations!$A111,FY26_LE_Data_March20[[ID]:[ID]],0)),0), _xlfn.IFNA(INDEX(FY26_LE_Data_March20[Oct. 1, 2024 - Grades K-12],MATCH(Calculations!$A111,FY26_LE_Data_March20[[ID]:[ID]],0)),0)+_xlfn.IFNA(INDEX(FY26_LE_Data_March20[Oct. 1, 2024 - SPED Self-Contained],MATCH(Calculations!$A111,FY26_LE_Data_March20[[ID]:[ID]],0)),0))</f>
        <v>162</v>
      </c>
      <c r="F111" s="1">
        <f t="shared" si="4"/>
        <v>10527.172205615838</v>
      </c>
      <c r="G111" s="7"/>
    </row>
    <row r="112" spans="1:7" x14ac:dyDescent="0.3">
      <c r="A112" s="45" t="s">
        <v>163</v>
      </c>
      <c r="B112" s="46" t="s">
        <v>164</v>
      </c>
      <c r="C112" s="43" t="str">
        <f>_xlfn.IFNA(INDEX(FY26_LE_Data_March20[Type],MATCH(Calculations!$A112,FY26_LE_Data_March20[[ID]:[ID]],0)),0)</f>
        <v>Charter</v>
      </c>
      <c r="D112" s="43" t="s">
        <v>503</v>
      </c>
      <c r="E112" s="58">
        <f>IF(D112="Yes", _xlfn.IFNA(INDEX(FY26_LE_Data_March20[Oct 1, 2025 (CDC) - Grades K-12],MATCH(Calculations!$A112,FY26_LE_Data_March20[[ID]:[ID]],0)),0), _xlfn.IFNA(INDEX(FY26_LE_Data_March20[Oct. 1, 2024 - Grades K-12],MATCH(Calculations!$A112,FY26_LE_Data_March20[[ID]:[ID]],0)),0)+_xlfn.IFNA(INDEX(FY26_LE_Data_March20[Oct. 1, 2024 - SPED Self-Contained],MATCH(Calculations!$A112,FY26_LE_Data_March20[[ID]:[ID]],0)),0))</f>
        <v>404</v>
      </c>
      <c r="F112" s="1">
        <f t="shared" si="4"/>
        <v>17927.867284542001</v>
      </c>
      <c r="G112" s="7"/>
    </row>
    <row r="113" spans="1:7" x14ac:dyDescent="0.3">
      <c r="A113" s="45" t="s">
        <v>165</v>
      </c>
      <c r="B113" s="46" t="s">
        <v>166</v>
      </c>
      <c r="C113" s="43" t="str">
        <f>_xlfn.IFNA(INDEX(FY26_LE_Data_March20[Type],MATCH(Calculations!$A113,FY26_LE_Data_March20[[ID]:[ID]],0)),0)</f>
        <v>Charter</v>
      </c>
      <c r="D113" s="43" t="s">
        <v>503</v>
      </c>
      <c r="E113" s="58">
        <f>IF(D113="Yes", _xlfn.IFNA(INDEX(FY26_LE_Data_March20[Oct 1, 2025 (CDC) - Grades K-12],MATCH(Calculations!$A113,FY26_LE_Data_March20[[ID]:[ID]],0)),0), _xlfn.IFNA(INDEX(FY26_LE_Data_March20[Oct. 1, 2024 - Grades K-12],MATCH(Calculations!$A113,FY26_LE_Data_March20[[ID]:[ID]],0)),0)+_xlfn.IFNA(INDEX(FY26_LE_Data_March20[Oct. 1, 2024 - SPED Self-Contained],MATCH(Calculations!$A113,FY26_LE_Data_March20[[ID]:[ID]],0)),0))</f>
        <v>1075</v>
      </c>
      <c r="F113" s="1">
        <f t="shared" si="4"/>
        <v>38447.976367019095</v>
      </c>
      <c r="G113" s="7"/>
    </row>
    <row r="114" spans="1:7" x14ac:dyDescent="0.3">
      <c r="A114" s="45" t="s">
        <v>167</v>
      </c>
      <c r="B114" s="46" t="s">
        <v>168</v>
      </c>
      <c r="C114" s="43" t="str">
        <f>_xlfn.IFNA(INDEX(FY26_LE_Data_March20[Type],MATCH(Calculations!$A114,FY26_LE_Data_March20[[ID]:[ID]],0)),0)</f>
        <v>Charter</v>
      </c>
      <c r="D114" s="43" t="s">
        <v>503</v>
      </c>
      <c r="E114" s="58">
        <f>IF(D114="Yes", _xlfn.IFNA(INDEX(FY26_LE_Data_March20[Oct 1, 2025 (CDC) - Grades K-12],MATCH(Calculations!$A114,FY26_LE_Data_March20[[ID]:[ID]],0)),0), _xlfn.IFNA(INDEX(FY26_LE_Data_March20[Oct. 1, 2024 - Grades K-12],MATCH(Calculations!$A114,FY26_LE_Data_March20[[ID]:[ID]],0)),0)+_xlfn.IFNA(INDEX(FY26_LE_Data_March20[Oct. 1, 2024 - SPED Self-Contained],MATCH(Calculations!$A114,FY26_LE_Data_March20[[ID]:[ID]],0)),0))</f>
        <v>424</v>
      </c>
      <c r="F114" s="1">
        <f t="shared" si="4"/>
        <v>18539.494977015238</v>
      </c>
      <c r="G114" s="7"/>
    </row>
    <row r="115" spans="1:7" x14ac:dyDescent="0.3">
      <c r="A115" s="45" t="s">
        <v>170</v>
      </c>
      <c r="B115" s="47" t="s">
        <v>171</v>
      </c>
      <c r="C115" s="43" t="str">
        <f>_xlfn.IFNA(INDEX(FY26_LE_Data_March20[Type],MATCH(Calculations!$A115,FY26_LE_Data_March20[[ID]:[ID]],0)),0)</f>
        <v>Charter</v>
      </c>
      <c r="D115" s="43" t="s">
        <v>503</v>
      </c>
      <c r="E115" s="58">
        <f>IF(D115="Yes", _xlfn.IFNA(INDEX(FY26_LE_Data_March20[Oct 1, 2025 (CDC) - Grades K-12],MATCH(Calculations!$A115,FY26_LE_Data_March20[[ID]:[ID]],0)),0), _xlfn.IFNA(INDEX(FY26_LE_Data_March20[Oct. 1, 2024 - Grades K-12],MATCH(Calculations!$A115,FY26_LE_Data_March20[[ID]:[ID]],0)),0)+_xlfn.IFNA(INDEX(FY26_LE_Data_March20[Oct. 1, 2024 - SPED Self-Contained],MATCH(Calculations!$A115,FY26_LE_Data_March20[[ID]:[ID]],0)),0))</f>
        <v>446</v>
      </c>
      <c r="F115" s="1">
        <f t="shared" si="4"/>
        <v>19212.285438735798</v>
      </c>
      <c r="G115" s="7"/>
    </row>
    <row r="116" spans="1:7" x14ac:dyDescent="0.3">
      <c r="A116" s="45" t="s">
        <v>172</v>
      </c>
      <c r="B116" s="47" t="s">
        <v>173</v>
      </c>
      <c r="C116" s="43" t="str">
        <f>_xlfn.IFNA(INDEX(FY26_LE_Data_March20[Type],MATCH(Calculations!$A116,FY26_LE_Data_March20[[ID]:[ID]],0)),0)</f>
        <v>Charter</v>
      </c>
      <c r="D116" s="43" t="s">
        <v>503</v>
      </c>
      <c r="E116" s="58">
        <f>IF(D116="Yes", _xlfn.IFNA(INDEX(FY26_LE_Data_March20[Oct 1, 2025 (CDC) - Grades K-12],MATCH(Calculations!$A116,FY26_LE_Data_March20[[ID]:[ID]],0)),0), _xlfn.IFNA(INDEX(FY26_LE_Data_March20[Oct. 1, 2024 - Grades K-12],MATCH(Calculations!$A116,FY26_LE_Data_March20[[ID]:[ID]],0)),0)+_xlfn.IFNA(INDEX(FY26_LE_Data_March20[Oct. 1, 2024 - SPED Self-Contained],MATCH(Calculations!$A116,FY26_LE_Data_March20[[ID]:[ID]],0)),0))</f>
        <v>1070</v>
      </c>
      <c r="F116" s="1">
        <f t="shared" si="4"/>
        <v>38295.069443900786</v>
      </c>
      <c r="G116" s="7"/>
    </row>
    <row r="117" spans="1:7" x14ac:dyDescent="0.3">
      <c r="A117" s="45" t="s">
        <v>174</v>
      </c>
      <c r="B117" s="46" t="s">
        <v>175</v>
      </c>
      <c r="C117" s="43" t="str">
        <f>_xlfn.IFNA(INDEX(FY26_LE_Data_March20[Type],MATCH(Calculations!$A117,FY26_LE_Data_March20[[ID]:[ID]],0)),0)</f>
        <v>Charter</v>
      </c>
      <c r="D117" s="43" t="s">
        <v>503</v>
      </c>
      <c r="E117" s="58">
        <f>IF(D117="Yes", _xlfn.IFNA(INDEX(FY26_LE_Data_March20[Oct 1, 2025 (CDC) - Grades K-12],MATCH(Calculations!$A117,FY26_LE_Data_March20[[ID]:[ID]],0)),0), _xlfn.IFNA(INDEX(FY26_LE_Data_March20[Oct. 1, 2024 - Grades K-12],MATCH(Calculations!$A117,FY26_LE_Data_March20[[ID]:[ID]],0)),0)+_xlfn.IFNA(INDEX(FY26_LE_Data_March20[Oct. 1, 2024 - SPED Self-Contained],MATCH(Calculations!$A117,FY26_LE_Data_March20[[ID]:[ID]],0)),0))</f>
        <v>260</v>
      </c>
      <c r="F117" s="1">
        <f t="shared" si="4"/>
        <v>13524.147898734696</v>
      </c>
      <c r="G117" s="7"/>
    </row>
    <row r="118" spans="1:7" x14ac:dyDescent="0.3">
      <c r="A118" s="45" t="s">
        <v>176</v>
      </c>
      <c r="B118" s="47" t="s">
        <v>177</v>
      </c>
      <c r="C118" s="43" t="str">
        <f>_xlfn.IFNA(INDEX(FY26_LE_Data_March20[Type],MATCH(Calculations!$A118,FY26_LE_Data_March20[[ID]:[ID]],0)),0)</f>
        <v>Charter</v>
      </c>
      <c r="D118" s="43" t="s">
        <v>503</v>
      </c>
      <c r="E118" s="58">
        <f>IF(D118="Yes", _xlfn.IFNA(INDEX(FY26_LE_Data_March20[Oct 1, 2025 (CDC) - Grades K-12],MATCH(Calculations!$A118,FY26_LE_Data_March20[[ID]:[ID]],0)),0), _xlfn.IFNA(INDEX(FY26_LE_Data_March20[Oct. 1, 2024 - Grades K-12],MATCH(Calculations!$A118,FY26_LE_Data_March20[[ID]:[ID]],0)),0)+_xlfn.IFNA(INDEX(FY26_LE_Data_March20[Oct. 1, 2024 - SPED Self-Contained],MATCH(Calculations!$A118,FY26_LE_Data_March20[[ID]:[ID]],0)),0))</f>
        <v>670</v>
      </c>
      <c r="F118" s="1">
        <f t="shared" si="4"/>
        <v>26062.515594436052</v>
      </c>
      <c r="G118" s="7"/>
    </row>
    <row r="119" spans="1:7" x14ac:dyDescent="0.3">
      <c r="A119" s="45" t="s">
        <v>178</v>
      </c>
      <c r="B119" s="47" t="s">
        <v>179</v>
      </c>
      <c r="C119" s="43" t="str">
        <f>_xlfn.IFNA(INDEX(FY26_LE_Data_March20[Type],MATCH(Calculations!$A119,FY26_LE_Data_March20[[ID]:[ID]],0)),0)</f>
        <v>Charter</v>
      </c>
      <c r="D119" s="43" t="s">
        <v>503</v>
      </c>
      <c r="E119" s="58">
        <f>IF(D119="Yes", _xlfn.IFNA(INDEX(FY26_LE_Data_March20[Oct 1, 2025 (CDC) - Grades K-12],MATCH(Calculations!$A119,FY26_LE_Data_March20[[ID]:[ID]],0)),0), _xlfn.IFNA(INDEX(FY26_LE_Data_March20[Oct. 1, 2024 - Grades K-12],MATCH(Calculations!$A119,FY26_LE_Data_March20[[ID]:[ID]],0)),0)+_xlfn.IFNA(INDEX(FY26_LE_Data_March20[Oct. 1, 2024 - SPED Self-Contained],MATCH(Calculations!$A119,FY26_LE_Data_March20[[ID]:[ID]],0)),0))</f>
        <v>448</v>
      </c>
      <c r="F119" s="1">
        <f t="shared" si="4"/>
        <v>19273.448207983121</v>
      </c>
      <c r="G119" s="7"/>
    </row>
    <row r="120" spans="1:7" x14ac:dyDescent="0.3">
      <c r="A120" s="45" t="s">
        <v>180</v>
      </c>
      <c r="B120" s="47" t="s">
        <v>181</v>
      </c>
      <c r="C120" s="43" t="str">
        <f>_xlfn.IFNA(INDEX(FY26_LE_Data_March20[Type],MATCH(Calculations!$A120,FY26_LE_Data_March20[[ID]:[ID]],0)),0)</f>
        <v>Charter</v>
      </c>
      <c r="D120" s="43" t="s">
        <v>503</v>
      </c>
      <c r="E120" s="58">
        <f>IF(D120="Yes", _xlfn.IFNA(INDEX(FY26_LE_Data_March20[Oct 1, 2025 (CDC) - Grades K-12],MATCH(Calculations!$A120,FY26_LE_Data_March20[[ID]:[ID]],0)),0), _xlfn.IFNA(INDEX(FY26_LE_Data_March20[Oct. 1, 2024 - Grades K-12],MATCH(Calculations!$A120,FY26_LE_Data_March20[[ID]:[ID]],0)),0)+_xlfn.IFNA(INDEX(FY26_LE_Data_March20[Oct. 1, 2024 - SPED Self-Contained],MATCH(Calculations!$A120,FY26_LE_Data_March20[[ID]:[ID]],0)),0))</f>
        <v>328</v>
      </c>
      <c r="F120" s="1">
        <f t="shared" si="4"/>
        <v>15603.682053143704</v>
      </c>
      <c r="G120" s="7"/>
    </row>
    <row r="121" spans="1:7" x14ac:dyDescent="0.3">
      <c r="A121" s="45" t="s">
        <v>182</v>
      </c>
      <c r="B121" s="47" t="s">
        <v>183</v>
      </c>
      <c r="C121" s="43" t="str">
        <f>_xlfn.IFNA(INDEX(FY26_LE_Data_March20[Type],MATCH(Calculations!$A121,FY26_LE_Data_March20[[ID]:[ID]],0)),0)</f>
        <v>Charter</v>
      </c>
      <c r="D121" s="43" t="s">
        <v>503</v>
      </c>
      <c r="E121" s="58">
        <f>IF(D121="Yes", _xlfn.IFNA(INDEX(FY26_LE_Data_March20[Oct 1, 2025 (CDC) - Grades K-12],MATCH(Calculations!$A121,FY26_LE_Data_March20[[ID]:[ID]],0)),0), _xlfn.IFNA(INDEX(FY26_LE_Data_March20[Oct. 1, 2024 - Grades K-12],MATCH(Calculations!$A121,FY26_LE_Data_March20[[ID]:[ID]],0)),0)+_xlfn.IFNA(INDEX(FY26_LE_Data_March20[Oct. 1, 2024 - SPED Self-Contained],MATCH(Calculations!$A121,FY26_LE_Data_March20[[ID]:[ID]],0)),0))</f>
        <v>643</v>
      </c>
      <c r="F121" s="1">
        <f t="shared" si="4"/>
        <v>25236.818209597182</v>
      </c>
      <c r="G121" s="7"/>
    </row>
    <row r="122" spans="1:7" x14ac:dyDescent="0.3">
      <c r="A122" s="45" t="s">
        <v>184</v>
      </c>
      <c r="B122" s="47" t="s">
        <v>185</v>
      </c>
      <c r="C122" s="43" t="str">
        <f>_xlfn.IFNA(INDEX(FY26_LE_Data_March20[Type],MATCH(Calculations!$A122,FY26_LE_Data_March20[[ID]:[ID]],0)),0)</f>
        <v>Charter</v>
      </c>
      <c r="D122" s="43" t="s">
        <v>503</v>
      </c>
      <c r="E122" s="58">
        <f>IF(D122="Yes", _xlfn.IFNA(INDEX(FY26_LE_Data_March20[Oct 1, 2025 (CDC) - Grades K-12],MATCH(Calculations!$A122,FY26_LE_Data_March20[[ID]:[ID]],0)),0), _xlfn.IFNA(INDEX(FY26_LE_Data_March20[Oct. 1, 2024 - Grades K-12],MATCH(Calculations!$A122,FY26_LE_Data_March20[[ID]:[ID]],0)),0)+_xlfn.IFNA(INDEX(FY26_LE_Data_March20[Oct. 1, 2024 - SPED Self-Contained],MATCH(Calculations!$A122,FY26_LE_Data_March20[[ID]:[ID]],0)),0))</f>
        <v>245</v>
      </c>
      <c r="F122" s="1">
        <f t="shared" si="4"/>
        <v>13065.42712937977</v>
      </c>
      <c r="G122" s="7"/>
    </row>
    <row r="123" spans="1:7" x14ac:dyDescent="0.3">
      <c r="A123" s="45" t="s">
        <v>186</v>
      </c>
      <c r="B123" s="47" t="s">
        <v>187</v>
      </c>
      <c r="C123" s="43" t="str">
        <f>_xlfn.IFNA(INDEX(FY26_LE_Data_March20[Type],MATCH(Calculations!$A123,FY26_LE_Data_March20[[ID]:[ID]],0)),0)</f>
        <v>Charter</v>
      </c>
      <c r="D123" s="43" t="s">
        <v>503</v>
      </c>
      <c r="E123" s="58">
        <f>IF(D123="Yes", _xlfn.IFNA(INDEX(FY26_LE_Data_March20[Oct 1, 2025 (CDC) - Grades K-12],MATCH(Calculations!$A123,FY26_LE_Data_March20[[ID]:[ID]],0)),0), _xlfn.IFNA(INDEX(FY26_LE_Data_March20[Oct. 1, 2024 - Grades K-12],MATCH(Calculations!$A123,FY26_LE_Data_March20[[ID]:[ID]],0)),0)+_xlfn.IFNA(INDEX(FY26_LE_Data_March20[Oct. 1, 2024 - SPED Self-Contained],MATCH(Calculations!$A123,FY26_LE_Data_March20[[ID]:[ID]],0)),0))</f>
        <v>577</v>
      </c>
      <c r="F123" s="1">
        <f t="shared" si="4"/>
        <v>23218.446824435501</v>
      </c>
      <c r="G123" s="7"/>
    </row>
    <row r="124" spans="1:7" x14ac:dyDescent="0.3">
      <c r="A124" s="45" t="s">
        <v>188</v>
      </c>
      <c r="B124" s="47" t="s">
        <v>189</v>
      </c>
      <c r="C124" s="43" t="str">
        <f>_xlfn.IFNA(INDEX(FY26_LE_Data_March20[Type],MATCH(Calculations!$A124,FY26_LE_Data_March20[[ID]:[ID]],0)),0)</f>
        <v>Charter</v>
      </c>
      <c r="D124" s="43" t="s">
        <v>503</v>
      </c>
      <c r="E124" s="58">
        <f>IF(D124="Yes", _xlfn.IFNA(INDEX(FY26_LE_Data_March20[Oct 1, 2025 (CDC) - Grades K-12],MATCH(Calculations!$A124,FY26_LE_Data_March20[[ID]:[ID]],0)),0), _xlfn.IFNA(INDEX(FY26_LE_Data_March20[Oct. 1, 2024 - Grades K-12],MATCH(Calculations!$A124,FY26_LE_Data_March20[[ID]:[ID]],0)),0)+_xlfn.IFNA(INDEX(FY26_LE_Data_March20[Oct. 1, 2024 - SPED Self-Contained],MATCH(Calculations!$A124,FY26_LE_Data_March20[[ID]:[ID]],0)),0))</f>
        <v>920</v>
      </c>
      <c r="F124" s="1">
        <f t="shared" si="4"/>
        <v>33707.861750351512</v>
      </c>
      <c r="G124" s="7"/>
    </row>
    <row r="125" spans="1:7" x14ac:dyDescent="0.3">
      <c r="A125" s="45" t="s">
        <v>190</v>
      </c>
      <c r="B125" s="47" t="s">
        <v>191</v>
      </c>
      <c r="C125" s="43" t="str">
        <f>_xlfn.IFNA(INDEX(FY26_LE_Data_March20[Type],MATCH(Calculations!$A125,FY26_LE_Data_March20[[ID]:[ID]],0)),0)</f>
        <v>Charter</v>
      </c>
      <c r="D125" s="43" t="s">
        <v>503</v>
      </c>
      <c r="E125" s="58">
        <f>IF(D125="Yes", _xlfn.IFNA(INDEX(FY26_LE_Data_March20[Oct 1, 2025 (CDC) - Grades K-12],MATCH(Calculations!$A125,FY26_LE_Data_March20[[ID]:[ID]],0)),0), _xlfn.IFNA(INDEX(FY26_LE_Data_March20[Oct. 1, 2024 - Grades K-12],MATCH(Calculations!$A125,FY26_LE_Data_March20[[ID]:[ID]],0)),0)+_xlfn.IFNA(INDEX(FY26_LE_Data_March20[Oct. 1, 2024 - SPED Self-Contained],MATCH(Calculations!$A125,FY26_LE_Data_March20[[ID]:[ID]],0)),0))</f>
        <v>301</v>
      </c>
      <c r="F125" s="1">
        <f t="shared" si="4"/>
        <v>14777.984668304834</v>
      </c>
      <c r="G125" s="7"/>
    </row>
    <row r="126" spans="1:7" x14ac:dyDescent="0.3">
      <c r="A126" s="45" t="s">
        <v>192</v>
      </c>
      <c r="B126" s="47" t="s">
        <v>193</v>
      </c>
      <c r="C126" s="43" t="str">
        <f>_xlfn.IFNA(INDEX(FY26_LE_Data_March20[Type],MATCH(Calculations!$A126,FY26_LE_Data_March20[[ID]:[ID]],0)),0)</f>
        <v>Charter</v>
      </c>
      <c r="D126" s="43" t="s">
        <v>503</v>
      </c>
      <c r="E126" s="58">
        <f>IF(D126="Yes", _xlfn.IFNA(INDEX(FY26_LE_Data_March20[Oct 1, 2025 (CDC) - Grades K-12],MATCH(Calculations!$A126,FY26_LE_Data_March20[[ID]:[ID]],0)),0), _xlfn.IFNA(INDEX(FY26_LE_Data_March20[Oct. 1, 2024 - Grades K-12],MATCH(Calculations!$A126,FY26_LE_Data_March20[[ID]:[ID]],0)),0)+_xlfn.IFNA(INDEX(FY26_LE_Data_March20[Oct. 1, 2024 - SPED Self-Contained],MATCH(Calculations!$A126,FY26_LE_Data_March20[[ID]:[ID]],0)),0))</f>
        <v>529</v>
      </c>
      <c r="F126" s="1">
        <f t="shared" si="4"/>
        <v>21750.540362499731</v>
      </c>
      <c r="G126" s="7"/>
    </row>
    <row r="127" spans="1:7" x14ac:dyDescent="0.3">
      <c r="A127" s="48" t="s">
        <v>194</v>
      </c>
      <c r="B127" s="47" t="s">
        <v>416</v>
      </c>
      <c r="C127" s="43" t="str">
        <f>_xlfn.IFNA(INDEX(FY26_LE_Data_March20[Type],MATCH(Calculations!$A127,FY26_LE_Data_March20[[ID]:[ID]],0)),0)</f>
        <v>Charter</v>
      </c>
      <c r="D127" s="43" t="s">
        <v>504</v>
      </c>
      <c r="E127" s="58">
        <f>IF(D127="Yes", _xlfn.IFNA(INDEX(FY26_LE_Data_March20[Oct 1, 2025 (CDC) - Grades K-12],MATCH(Calculations!$A127,FY26_LE_Data_March20[[ID]:[ID]],0)),0), _xlfn.IFNA(INDEX(FY26_LE_Data_March20[Oct. 1, 2024 - Grades K-12],MATCH(Calculations!$A127,FY26_LE_Data_March20[[ID]:[ID]],0)),0)+_xlfn.IFNA(INDEX(FY26_LE_Data_March20[Oct. 1, 2024 - SPED Self-Contained],MATCH(Calculations!$A127,FY26_LE_Data_March20[[ID]:[ID]],0)),0))</f>
        <v>40</v>
      </c>
      <c r="F127" s="1">
        <f t="shared" si="4"/>
        <v>6796.243281529094</v>
      </c>
      <c r="G127" s="7"/>
    </row>
    <row r="128" spans="1:7" x14ac:dyDescent="0.3">
      <c r="A128" s="48" t="s">
        <v>195</v>
      </c>
      <c r="B128" s="47" t="s">
        <v>196</v>
      </c>
      <c r="C128" s="43" t="str">
        <f>_xlfn.IFNA(INDEX(FY26_LE_Data_March20[Type],MATCH(Calculations!$A128,FY26_LE_Data_March20[[ID]:[ID]],0)),0)</f>
        <v>Charter</v>
      </c>
      <c r="D128" s="43" t="s">
        <v>503</v>
      </c>
      <c r="E128" s="58">
        <f>IF(D128="Yes", _xlfn.IFNA(INDEX(FY26_LE_Data_March20[Oct 1, 2025 (CDC) - Grades K-12],MATCH(Calculations!$A128,FY26_LE_Data_March20[[ID]:[ID]],0)),0), _xlfn.IFNA(INDEX(FY26_LE_Data_March20[Oct. 1, 2024 - Grades K-12],MATCH(Calculations!$A128,FY26_LE_Data_March20[[ID]:[ID]],0)),0)+_xlfn.IFNA(INDEX(FY26_LE_Data_March20[Oct. 1, 2024 - SPED Self-Contained],MATCH(Calculations!$A128,FY26_LE_Data_March20[[ID]:[ID]],0)),0))</f>
        <v>98</v>
      </c>
      <c r="F128" s="1">
        <f t="shared" si="4"/>
        <v>8569.9635897014796</v>
      </c>
      <c r="G128" s="7"/>
    </row>
    <row r="129" spans="1:7" x14ac:dyDescent="0.3">
      <c r="A129" s="45" t="s">
        <v>197</v>
      </c>
      <c r="B129" s="47" t="s">
        <v>198</v>
      </c>
      <c r="C129" s="43" t="str">
        <f>_xlfn.IFNA(INDEX(FY26_LE_Data_March20[Type],MATCH(Calculations!$A129,FY26_LE_Data_March20[[ID]:[ID]],0)),0)</f>
        <v>Charter</v>
      </c>
      <c r="D129" s="43" t="s">
        <v>503</v>
      </c>
      <c r="E129" s="58">
        <f>IF(D129="Yes", _xlfn.IFNA(INDEX(FY26_LE_Data_March20[Oct 1, 2025 (CDC) - Grades K-12],MATCH(Calculations!$A129,FY26_LE_Data_March20[[ID]:[ID]],0)),0), _xlfn.IFNA(INDEX(FY26_LE_Data_March20[Oct. 1, 2024 - Grades K-12],MATCH(Calculations!$A129,FY26_LE_Data_March20[[ID]:[ID]],0)),0)+_xlfn.IFNA(INDEX(FY26_LE_Data_March20[Oct. 1, 2024 - SPED Self-Contained],MATCH(Calculations!$A129,FY26_LE_Data_March20[[ID]:[ID]],0)),0))</f>
        <v>150</v>
      </c>
      <c r="F129" s="1">
        <f t="shared" si="4"/>
        <v>10160.195590131894</v>
      </c>
      <c r="G129" s="7"/>
    </row>
    <row r="130" spans="1:7" x14ac:dyDescent="0.3">
      <c r="A130" s="48" t="s">
        <v>199</v>
      </c>
      <c r="B130" s="47" t="s">
        <v>200</v>
      </c>
      <c r="C130" s="43" t="str">
        <f>_xlfn.IFNA(INDEX(FY26_LE_Data_March20[Type],MATCH(Calculations!$A130,FY26_LE_Data_March20[[ID]:[ID]],0)),0)</f>
        <v>Charter</v>
      </c>
      <c r="D130" s="43" t="s">
        <v>503</v>
      </c>
      <c r="E130" s="58">
        <f>IF(D130="Yes", _xlfn.IFNA(INDEX(FY26_LE_Data_March20[Oct 1, 2025 (CDC) - Grades K-12],MATCH(Calculations!$A130,FY26_LE_Data_March20[[ID]:[ID]],0)),0), _xlfn.IFNA(INDEX(FY26_LE_Data_March20[Oct. 1, 2024 - Grades K-12],MATCH(Calculations!$A130,FY26_LE_Data_March20[[ID]:[ID]],0)),0)+_xlfn.IFNA(INDEX(FY26_LE_Data_March20[Oct. 1, 2024 - SPED Self-Contained],MATCH(Calculations!$A130,FY26_LE_Data_March20[[ID]:[ID]],0)),0))</f>
        <v>2894</v>
      </c>
      <c r="F130" s="1">
        <f t="shared" si="4"/>
        <v>94075.514997459977</v>
      </c>
      <c r="G130" s="7"/>
    </row>
    <row r="131" spans="1:7" x14ac:dyDescent="0.3">
      <c r="A131" s="48" t="s">
        <v>201</v>
      </c>
      <c r="B131" s="47" t="s">
        <v>202</v>
      </c>
      <c r="C131" s="43" t="str">
        <f>_xlfn.IFNA(INDEX(FY26_LE_Data_March20[Type],MATCH(Calculations!$A131,FY26_LE_Data_March20[[ID]:[ID]],0)),0)</f>
        <v>Charter</v>
      </c>
      <c r="D131" s="43" t="s">
        <v>503</v>
      </c>
      <c r="E131" s="58">
        <f>IF(D131="Yes", _xlfn.IFNA(INDEX(FY26_LE_Data_March20[Oct 1, 2025 (CDC) - Grades K-12],MATCH(Calculations!$A131,FY26_LE_Data_March20[[ID]:[ID]],0)),0), _xlfn.IFNA(INDEX(FY26_LE_Data_March20[Oct. 1, 2024 - Grades K-12],MATCH(Calculations!$A131,FY26_LE_Data_March20[[ID]:[ID]],0)),0)+_xlfn.IFNA(INDEX(FY26_LE_Data_March20[Oct. 1, 2024 - SPED Self-Contained],MATCH(Calculations!$A131,FY26_LE_Data_March20[[ID]:[ID]],0)),0))</f>
        <v>215</v>
      </c>
      <c r="F131" s="1">
        <f t="shared" si="4"/>
        <v>12147.985590669916</v>
      </c>
      <c r="G131" s="7"/>
    </row>
    <row r="132" spans="1:7" x14ac:dyDescent="0.3">
      <c r="A132" s="48" t="s">
        <v>203</v>
      </c>
      <c r="B132" s="47" t="s">
        <v>204</v>
      </c>
      <c r="C132" s="43" t="str">
        <f>_xlfn.IFNA(INDEX(FY26_LE_Data_March20[Type],MATCH(Calculations!$A132,FY26_LE_Data_March20[[ID]:[ID]],0)),0)</f>
        <v>Charter</v>
      </c>
      <c r="D132" s="43" t="s">
        <v>503</v>
      </c>
      <c r="E132" s="58">
        <f>IF(D132="Yes", _xlfn.IFNA(INDEX(FY26_LE_Data_March20[Oct 1, 2025 (CDC) - Grades K-12],MATCH(Calculations!$A132,FY26_LE_Data_March20[[ID]:[ID]],0)),0), _xlfn.IFNA(INDEX(FY26_LE_Data_March20[Oct. 1, 2024 - Grades K-12],MATCH(Calculations!$A132,FY26_LE_Data_March20[[ID]:[ID]],0)),0)+_xlfn.IFNA(INDEX(FY26_LE_Data_March20[Oct. 1, 2024 - SPED Self-Contained],MATCH(Calculations!$A132,FY26_LE_Data_March20[[ID]:[ID]],0)),0))</f>
        <v>454</v>
      </c>
      <c r="F132" s="1">
        <f t="shared" si="4"/>
        <v>19456.936515725094</v>
      </c>
      <c r="G132" s="7"/>
    </row>
    <row r="133" spans="1:7" x14ac:dyDescent="0.3">
      <c r="A133" s="48" t="s">
        <v>205</v>
      </c>
      <c r="B133" s="47" t="s">
        <v>206</v>
      </c>
      <c r="C133" s="43" t="str">
        <f>_xlfn.IFNA(INDEX(FY26_LE_Data_March20[Type],MATCH(Calculations!$A133,FY26_LE_Data_March20[[ID]:[ID]],0)),0)</f>
        <v>Charter</v>
      </c>
      <c r="D133" s="43" t="s">
        <v>503</v>
      </c>
      <c r="E133" s="58">
        <f>IF(D133="Yes", _xlfn.IFNA(INDEX(FY26_LE_Data_March20[Oct 1, 2025 (CDC) - Grades K-12],MATCH(Calculations!$A133,FY26_LE_Data_March20[[ID]:[ID]],0)),0), _xlfn.IFNA(INDEX(FY26_LE_Data_March20[Oct. 1, 2024 - Grades K-12],MATCH(Calculations!$A133,FY26_LE_Data_March20[[ID]:[ID]],0)),0)+_xlfn.IFNA(INDEX(FY26_LE_Data_March20[Oct. 1, 2024 - SPED Self-Contained],MATCH(Calculations!$A133,FY26_LE_Data_March20[[ID]:[ID]],0)),0))</f>
        <v>696</v>
      </c>
      <c r="F133" s="1">
        <f t="shared" si="4"/>
        <v>26857.631594651259</v>
      </c>
      <c r="G133" s="7"/>
    </row>
    <row r="134" spans="1:7" x14ac:dyDescent="0.3">
      <c r="A134" s="45" t="s">
        <v>207</v>
      </c>
      <c r="B134" s="49" t="s">
        <v>208</v>
      </c>
      <c r="C134" s="43" t="str">
        <f>_xlfn.IFNA(INDEX(FY26_LE_Data_March20[Type],MATCH(Calculations!$A134,FY26_LE_Data_March20[[ID]:[ID]],0)),0)</f>
        <v>Charter</v>
      </c>
      <c r="D134" s="43" t="s">
        <v>503</v>
      </c>
      <c r="E134" s="58">
        <f>IF(D134="Yes", _xlfn.IFNA(INDEX(FY26_LE_Data_March20[Oct 1, 2025 (CDC) - Grades K-12],MATCH(Calculations!$A134,FY26_LE_Data_March20[[ID]:[ID]],0)),0), _xlfn.IFNA(INDEX(FY26_LE_Data_March20[Oct. 1, 2024 - Grades K-12],MATCH(Calculations!$A134,FY26_LE_Data_March20[[ID]:[ID]],0)),0)+_xlfn.IFNA(INDEX(FY26_LE_Data_March20[Oct. 1, 2024 - SPED Self-Contained],MATCH(Calculations!$A134,FY26_LE_Data_March20[[ID]:[ID]],0)),0))</f>
        <v>355</v>
      </c>
      <c r="F134" s="1">
        <f t="shared" si="4"/>
        <v>16429.37943798257</v>
      </c>
      <c r="G134" s="7"/>
    </row>
    <row r="135" spans="1:7" x14ac:dyDescent="0.3">
      <c r="A135" s="50" t="s">
        <v>209</v>
      </c>
      <c r="B135" s="51" t="s">
        <v>210</v>
      </c>
      <c r="C135" s="43" t="str">
        <f>_xlfn.IFNA(INDEX(FY26_LE_Data_March20[Type],MATCH(Calculations!$A135,FY26_LE_Data_March20[[ID]:[ID]],0)),0)</f>
        <v>Charter</v>
      </c>
      <c r="D135" s="43" t="s">
        <v>503</v>
      </c>
      <c r="E135" s="58">
        <f>IF(D135="Yes", _xlfn.IFNA(INDEX(FY26_LE_Data_March20[Oct 1, 2025 (CDC) - Grades K-12],MATCH(Calculations!$A135,FY26_LE_Data_March20[[ID]:[ID]],0)),0), _xlfn.IFNA(INDEX(FY26_LE_Data_March20[Oct. 1, 2024 - Grades K-12],MATCH(Calculations!$A135,FY26_LE_Data_March20[[ID]:[ID]],0)),0)+_xlfn.IFNA(INDEX(FY26_LE_Data_March20[Oct. 1, 2024 - SPED Self-Contained],MATCH(Calculations!$A135,FY26_LE_Data_March20[[ID]:[ID]],0)),0))</f>
        <v>614</v>
      </c>
      <c r="F135" s="1">
        <f t="shared" ref="F135:F166" si="5">IF(OR(C135="District",C135="Other"),$E$176+(E135*$E$177),$E$169+(E135*$E$170))</f>
        <v>24349.95805551099</v>
      </c>
      <c r="G135" s="7"/>
    </row>
    <row r="136" spans="1:7" x14ac:dyDescent="0.3">
      <c r="A136" s="43" t="s">
        <v>211</v>
      </c>
      <c r="B136" s="52" t="s">
        <v>212</v>
      </c>
      <c r="C136" s="43" t="str">
        <f>_xlfn.IFNA(INDEX(FY26_LE_Data_March20[Type],MATCH(Calculations!$A136,FY26_LE_Data_March20[[ID]:[ID]],0)),0)</f>
        <v>Charter</v>
      </c>
      <c r="D136" s="43" t="s">
        <v>503</v>
      </c>
      <c r="E136" s="58">
        <f>IF(D136="Yes", _xlfn.IFNA(INDEX(FY26_LE_Data_March20[Oct 1, 2025 (CDC) - Grades K-12],MATCH(Calculations!$A136,FY26_LE_Data_March20[[ID]:[ID]],0)),0), _xlfn.IFNA(INDEX(FY26_LE_Data_March20[Oct. 1, 2024 - Grades K-12],MATCH(Calculations!$A136,FY26_LE_Data_March20[[ID]:[ID]],0)),0)+_xlfn.IFNA(INDEX(FY26_LE_Data_March20[Oct. 1, 2024 - SPED Self-Contained],MATCH(Calculations!$A136,FY26_LE_Data_March20[[ID]:[ID]],0)),0))</f>
        <v>460</v>
      </c>
      <c r="F136" s="1">
        <f t="shared" si="5"/>
        <v>19640.424823467067</v>
      </c>
      <c r="G136" s="7"/>
    </row>
    <row r="137" spans="1:7" x14ac:dyDescent="0.3">
      <c r="A137" s="43" t="s">
        <v>213</v>
      </c>
      <c r="B137" s="52" t="s">
        <v>214</v>
      </c>
      <c r="C137" s="43" t="str">
        <f>_xlfn.IFNA(INDEX(FY26_LE_Data_March20[Type],MATCH(Calculations!$A137,FY26_LE_Data_March20[[ID]:[ID]],0)),0)</f>
        <v>Charter</v>
      </c>
      <c r="D137" s="43" t="s">
        <v>503</v>
      </c>
      <c r="E137" s="58">
        <f>IF(D137="Yes", _xlfn.IFNA(INDEX(FY26_LE_Data_March20[Oct 1, 2025 (CDC) - Grades K-12],MATCH(Calculations!$A137,FY26_LE_Data_March20[[ID]:[ID]],0)),0), _xlfn.IFNA(INDEX(FY26_LE_Data_March20[Oct. 1, 2024 - Grades K-12],MATCH(Calculations!$A137,FY26_LE_Data_March20[[ID]:[ID]],0)),0)+_xlfn.IFNA(INDEX(FY26_LE_Data_March20[Oct. 1, 2024 - SPED Self-Contained],MATCH(Calculations!$A137,FY26_LE_Data_March20[[ID]:[ID]],0)),0))</f>
        <v>624</v>
      </c>
      <c r="F137" s="1">
        <f t="shared" si="5"/>
        <v>24655.771901747608</v>
      </c>
      <c r="G137" s="7"/>
    </row>
    <row r="138" spans="1:7" x14ac:dyDescent="0.3">
      <c r="A138" s="43" t="s">
        <v>215</v>
      </c>
      <c r="B138" s="52" t="s">
        <v>216</v>
      </c>
      <c r="C138" s="43" t="str">
        <f>_xlfn.IFNA(INDEX(FY26_LE_Data_March20[Type],MATCH(Calculations!$A138,FY26_LE_Data_March20[[ID]:[ID]],0)),0)</f>
        <v>Charter</v>
      </c>
      <c r="D138" s="43" t="s">
        <v>503</v>
      </c>
      <c r="E138" s="58">
        <f>IF(D138="Yes", _xlfn.IFNA(INDEX(FY26_LE_Data_March20[Oct 1, 2025 (CDC) - Grades K-12],MATCH(Calculations!$A138,FY26_LE_Data_March20[[ID]:[ID]],0)),0), _xlfn.IFNA(INDEX(FY26_LE_Data_March20[Oct. 1, 2024 - Grades K-12],MATCH(Calculations!$A138,FY26_LE_Data_March20[[ID]:[ID]],0)),0)+_xlfn.IFNA(INDEX(FY26_LE_Data_March20[Oct. 1, 2024 - SPED Self-Contained],MATCH(Calculations!$A138,FY26_LE_Data_March20[[ID]:[ID]],0)),0))</f>
        <v>957</v>
      </c>
      <c r="F138" s="1">
        <f t="shared" si="5"/>
        <v>34839.372981426997</v>
      </c>
      <c r="G138" s="7"/>
    </row>
    <row r="139" spans="1:7" x14ac:dyDescent="0.3">
      <c r="A139" s="43" t="s">
        <v>217</v>
      </c>
      <c r="B139" s="52" t="s">
        <v>218</v>
      </c>
      <c r="C139" s="43" t="str">
        <f>_xlfn.IFNA(INDEX(FY26_LE_Data_March20[Type],MATCH(Calculations!$A139,FY26_LE_Data_March20[[ID]:[ID]],0)),0)</f>
        <v>Charter</v>
      </c>
      <c r="D139" s="43" t="s">
        <v>503</v>
      </c>
      <c r="E139" s="58">
        <f>IF(D139="Yes", _xlfn.IFNA(INDEX(FY26_LE_Data_March20[Oct 1, 2025 (CDC) - Grades K-12],MATCH(Calculations!$A139,FY26_LE_Data_March20[[ID]:[ID]],0)),0), _xlfn.IFNA(INDEX(FY26_LE_Data_March20[Oct. 1, 2024 - Grades K-12],MATCH(Calculations!$A139,FY26_LE_Data_March20[[ID]:[ID]],0)),0)+_xlfn.IFNA(INDEX(FY26_LE_Data_March20[Oct. 1, 2024 - SPED Self-Contained],MATCH(Calculations!$A139,FY26_LE_Data_March20[[ID]:[ID]],0)),0))</f>
        <v>224</v>
      </c>
      <c r="F139" s="1">
        <f t="shared" si="5"/>
        <v>12423.218052282871</v>
      </c>
      <c r="G139" s="7"/>
    </row>
    <row r="140" spans="1:7" x14ac:dyDescent="0.3">
      <c r="A140" s="43" t="s">
        <v>219</v>
      </c>
      <c r="B140" s="52" t="s">
        <v>220</v>
      </c>
      <c r="C140" s="43" t="str">
        <f>_xlfn.IFNA(INDEX(FY26_LE_Data_March20[Type],MATCH(Calculations!$A140,FY26_LE_Data_March20[[ID]:[ID]],0)),0)</f>
        <v>Charter</v>
      </c>
      <c r="D140" s="43" t="s">
        <v>503</v>
      </c>
      <c r="E140" s="58">
        <f>IF(D140="Yes", _xlfn.IFNA(INDEX(FY26_LE_Data_March20[Oct 1, 2025 (CDC) - Grades K-12],MATCH(Calculations!$A140,FY26_LE_Data_March20[[ID]:[ID]],0)),0), _xlfn.IFNA(INDEX(FY26_LE_Data_March20[Oct. 1, 2024 - Grades K-12],MATCH(Calculations!$A140,FY26_LE_Data_March20[[ID]:[ID]],0)),0)+_xlfn.IFNA(INDEX(FY26_LE_Data_March20[Oct. 1, 2024 - SPED Self-Contained],MATCH(Calculations!$A140,FY26_LE_Data_March20[[ID]:[ID]],0)),0))</f>
        <v>577</v>
      </c>
      <c r="F140" s="1">
        <f t="shared" si="5"/>
        <v>23218.446824435501</v>
      </c>
      <c r="G140" s="7"/>
    </row>
    <row r="141" spans="1:7" x14ac:dyDescent="0.3">
      <c r="A141" s="43" t="s">
        <v>221</v>
      </c>
      <c r="B141" s="53" t="s">
        <v>222</v>
      </c>
      <c r="C141" s="43" t="str">
        <f>_xlfn.IFNA(INDEX(FY26_LE_Data_March20[Type],MATCH(Calculations!$A141,FY26_LE_Data_March20[[ID]:[ID]],0)),0)</f>
        <v>Charter</v>
      </c>
      <c r="D141" s="43" t="s">
        <v>503</v>
      </c>
      <c r="E141" s="58">
        <f>IF(D141="Yes", _xlfn.IFNA(INDEX(FY26_LE_Data_March20[Oct 1, 2025 (CDC) - Grades K-12],MATCH(Calculations!$A141,FY26_LE_Data_March20[[ID]:[ID]],0)),0), _xlfn.IFNA(INDEX(FY26_LE_Data_March20[Oct. 1, 2024 - Grades K-12],MATCH(Calculations!$A141,FY26_LE_Data_March20[[ID]:[ID]],0)),0)+_xlfn.IFNA(INDEX(FY26_LE_Data_March20[Oct. 1, 2024 - SPED Self-Contained],MATCH(Calculations!$A141,FY26_LE_Data_March20[[ID]:[ID]],0)),0))</f>
        <v>628</v>
      </c>
      <c r="F141" s="1">
        <f t="shared" si="5"/>
        <v>24778.097440242254</v>
      </c>
      <c r="G141" s="7"/>
    </row>
    <row r="142" spans="1:7" x14ac:dyDescent="0.3">
      <c r="A142" s="43" t="s">
        <v>223</v>
      </c>
      <c r="B142" s="53" t="s">
        <v>224</v>
      </c>
      <c r="C142" s="43" t="str">
        <f>_xlfn.IFNA(INDEX(FY26_LE_Data_March20[Type],MATCH(Calculations!$A142,FY26_LE_Data_March20[[ID]:[ID]],0)),0)</f>
        <v>Charter</v>
      </c>
      <c r="D142" s="43" t="s">
        <v>503</v>
      </c>
      <c r="E142" s="58">
        <f>IF(D142="Yes", _xlfn.IFNA(INDEX(FY26_LE_Data_March20[Oct 1, 2025 (CDC) - Grades K-12],MATCH(Calculations!$A142,FY26_LE_Data_March20[[ID]:[ID]],0)),0), _xlfn.IFNA(INDEX(FY26_LE_Data_March20[Oct. 1, 2024 - Grades K-12],MATCH(Calculations!$A142,FY26_LE_Data_March20[[ID]:[ID]],0)),0)+_xlfn.IFNA(INDEX(FY26_LE_Data_March20[Oct. 1, 2024 - SPED Self-Contained],MATCH(Calculations!$A142,FY26_LE_Data_March20[[ID]:[ID]],0)),0))</f>
        <v>720</v>
      </c>
      <c r="F142" s="1">
        <f t="shared" si="5"/>
        <v>27591.584825619142</v>
      </c>
      <c r="G142" s="7"/>
    </row>
    <row r="143" spans="1:7" x14ac:dyDescent="0.3">
      <c r="A143" s="43" t="s">
        <v>225</v>
      </c>
      <c r="B143" s="53" t="s">
        <v>226</v>
      </c>
      <c r="C143" s="43" t="str">
        <f>_xlfn.IFNA(INDEX(FY26_LE_Data_March20[Type],MATCH(Calculations!$A143,FY26_LE_Data_March20[[ID]:[ID]],0)),0)</f>
        <v>Charter</v>
      </c>
      <c r="D143" s="43" t="s">
        <v>503</v>
      </c>
      <c r="E143" s="58">
        <f>IF(D143="Yes", _xlfn.IFNA(INDEX(FY26_LE_Data_March20[Oct 1, 2025 (CDC) - Grades K-12],MATCH(Calculations!$A143,FY26_LE_Data_March20[[ID]:[ID]],0)),0), _xlfn.IFNA(INDEX(FY26_LE_Data_March20[Oct. 1, 2024 - Grades K-12],MATCH(Calculations!$A143,FY26_LE_Data_March20[[ID]:[ID]],0)),0)+_xlfn.IFNA(INDEX(FY26_LE_Data_March20[Oct. 1, 2024 - SPED Self-Contained],MATCH(Calculations!$A143,FY26_LE_Data_March20[[ID]:[ID]],0)),0))</f>
        <v>2184</v>
      </c>
      <c r="F143" s="1">
        <f t="shared" si="5"/>
        <v>72362.731914660078</v>
      </c>
      <c r="G143" s="7"/>
    </row>
    <row r="144" spans="1:7" x14ac:dyDescent="0.3">
      <c r="A144" s="43" t="s">
        <v>227</v>
      </c>
      <c r="B144" s="53" t="s">
        <v>228</v>
      </c>
      <c r="C144" s="43" t="str">
        <f>_xlfn.IFNA(INDEX(FY26_LE_Data_March20[Type],MATCH(Calculations!$A144,FY26_LE_Data_March20[[ID]:[ID]],0)),0)</f>
        <v>Charter</v>
      </c>
      <c r="D144" s="43" t="s">
        <v>503</v>
      </c>
      <c r="E144" s="58">
        <f>IF(D144="Yes", _xlfn.IFNA(INDEX(FY26_LE_Data_March20[Oct 1, 2025 (CDC) - Grades K-12],MATCH(Calculations!$A144,FY26_LE_Data_March20[[ID]:[ID]],0)),0), _xlfn.IFNA(INDEX(FY26_LE_Data_March20[Oct. 1, 2024 - Grades K-12],MATCH(Calculations!$A144,FY26_LE_Data_March20[[ID]:[ID]],0)),0)+_xlfn.IFNA(INDEX(FY26_LE_Data_March20[Oct. 1, 2024 - SPED Self-Contained],MATCH(Calculations!$A144,FY26_LE_Data_March20[[ID]:[ID]],0)),0))</f>
        <v>375</v>
      </c>
      <c r="F144" s="1">
        <f t="shared" si="5"/>
        <v>17041.007130455808</v>
      </c>
      <c r="G144" s="7"/>
    </row>
    <row r="145" spans="1:7" x14ac:dyDescent="0.3">
      <c r="A145" s="43" t="s">
        <v>229</v>
      </c>
      <c r="B145" s="53" t="s">
        <v>230</v>
      </c>
      <c r="C145" s="43" t="str">
        <f>_xlfn.IFNA(INDEX(FY26_LE_Data_March20[Type],MATCH(Calculations!$A145,FY26_LE_Data_March20[[ID]:[ID]],0)),0)</f>
        <v>Charter</v>
      </c>
      <c r="D145" s="43" t="s">
        <v>503</v>
      </c>
      <c r="E145" s="58">
        <f>IF(D145="Yes", _xlfn.IFNA(INDEX(FY26_LE_Data_March20[Oct 1, 2025 (CDC) - Grades K-12],MATCH(Calculations!$A145,FY26_LE_Data_March20[[ID]:[ID]],0)),0), _xlfn.IFNA(INDEX(FY26_LE_Data_March20[Oct. 1, 2024 - Grades K-12],MATCH(Calculations!$A145,FY26_LE_Data_March20[[ID]:[ID]],0)),0)+_xlfn.IFNA(INDEX(FY26_LE_Data_March20[Oct. 1, 2024 - SPED Self-Contained],MATCH(Calculations!$A145,FY26_LE_Data_March20[[ID]:[ID]],0)),0))</f>
        <v>225</v>
      </c>
      <c r="F145" s="1">
        <f t="shared" si="5"/>
        <v>12453.799436906535</v>
      </c>
      <c r="G145" s="7"/>
    </row>
    <row r="146" spans="1:7" x14ac:dyDescent="0.3">
      <c r="A146" s="43" t="s">
        <v>233</v>
      </c>
      <c r="B146" s="54" t="s">
        <v>234</v>
      </c>
      <c r="C146" s="43" t="str">
        <f>_xlfn.IFNA(INDEX(FY26_LE_Data_March20[Type],MATCH(Calculations!$A146,FY26_LE_Data_March20[[ID]:[ID]],0)),0)</f>
        <v>Charter</v>
      </c>
      <c r="D146" s="43" t="s">
        <v>503</v>
      </c>
      <c r="E146" s="58">
        <f>IF(D146="Yes", _xlfn.IFNA(INDEX(FY26_LE_Data_March20[Oct 1, 2025 (CDC) - Grades K-12],MATCH(Calculations!$A146,FY26_LE_Data_March20[[ID]:[ID]],0)),0), _xlfn.IFNA(INDEX(FY26_LE_Data_March20[Oct. 1, 2024 - Grades K-12],MATCH(Calculations!$A146,FY26_LE_Data_March20[[ID]:[ID]],0)),0)+_xlfn.IFNA(INDEX(FY26_LE_Data_March20[Oct. 1, 2024 - SPED Self-Contained],MATCH(Calculations!$A146,FY26_LE_Data_March20[[ID]:[ID]],0)),0))</f>
        <v>334</v>
      </c>
      <c r="F146" s="1">
        <f t="shared" si="5"/>
        <v>15787.170360885673</v>
      </c>
      <c r="G146" s="7"/>
    </row>
    <row r="147" spans="1:7" x14ac:dyDescent="0.3">
      <c r="A147" s="43" t="s">
        <v>235</v>
      </c>
      <c r="B147" s="54" t="s">
        <v>236</v>
      </c>
      <c r="C147" s="43" t="str">
        <f>_xlfn.IFNA(INDEX(FY26_LE_Data_March20[Type],MATCH(Calculations!$A147,FY26_LE_Data_March20[[ID]:[ID]],0)),0)</f>
        <v>Charter</v>
      </c>
      <c r="D147" s="43" t="s">
        <v>503</v>
      </c>
      <c r="E147" s="58">
        <f>IF(D147="Yes", _xlfn.IFNA(INDEX(FY26_LE_Data_March20[Oct 1, 2025 (CDC) - Grades K-12],MATCH(Calculations!$A147,FY26_LE_Data_March20[[ID]:[ID]],0)),0), _xlfn.IFNA(INDEX(FY26_LE_Data_March20[Oct. 1, 2024 - Grades K-12],MATCH(Calculations!$A147,FY26_LE_Data_March20[[ID]:[ID]],0)),0)+_xlfn.IFNA(INDEX(FY26_LE_Data_March20[Oct. 1, 2024 - SPED Self-Contained],MATCH(Calculations!$A147,FY26_LE_Data_March20[[ID]:[ID]],0)),0))</f>
        <v>508</v>
      </c>
      <c r="F147" s="1">
        <f t="shared" si="5"/>
        <v>21108.331285402834</v>
      </c>
      <c r="G147" s="7"/>
    </row>
    <row r="148" spans="1:7" x14ac:dyDescent="0.3">
      <c r="A148" s="43" t="s">
        <v>237</v>
      </c>
      <c r="B148" s="54" t="s">
        <v>238</v>
      </c>
      <c r="C148" s="43" t="str">
        <f>_xlfn.IFNA(INDEX(FY26_LE_Data_March20[Type],MATCH(Calculations!$A148,FY26_LE_Data_March20[[ID]:[ID]],0)),0)</f>
        <v>Charter</v>
      </c>
      <c r="D148" s="43" t="s">
        <v>503</v>
      </c>
      <c r="E148" s="58">
        <f>IF(D148="Yes", _xlfn.IFNA(INDEX(FY26_LE_Data_March20[Oct 1, 2025 (CDC) - Grades K-12],MATCH(Calculations!$A148,FY26_LE_Data_March20[[ID]:[ID]],0)),0), _xlfn.IFNA(INDEX(FY26_LE_Data_March20[Oct. 1, 2024 - Grades K-12],MATCH(Calculations!$A148,FY26_LE_Data_March20[[ID]:[ID]],0)),0)+_xlfn.IFNA(INDEX(FY26_LE_Data_March20[Oct. 1, 2024 - SPED Self-Contained],MATCH(Calculations!$A148,FY26_LE_Data_March20[[ID]:[ID]],0)),0))</f>
        <v>494</v>
      </c>
      <c r="F148" s="1">
        <f t="shared" si="5"/>
        <v>20680.191900671569</v>
      </c>
      <c r="G148" s="7"/>
    </row>
    <row r="149" spans="1:7" x14ac:dyDescent="0.3">
      <c r="A149" s="43" t="s">
        <v>239</v>
      </c>
      <c r="B149" s="55" t="s">
        <v>240</v>
      </c>
      <c r="C149" s="43" t="str">
        <f>_xlfn.IFNA(INDEX(FY26_LE_Data_March20[Type],MATCH(Calculations!$A149,FY26_LE_Data_March20[[ID]:[ID]],0)),0)</f>
        <v>Charter</v>
      </c>
      <c r="D149" s="43" t="s">
        <v>503</v>
      </c>
      <c r="E149" s="58">
        <f>IF(D149="Yes", _xlfn.IFNA(INDEX(FY26_LE_Data_March20[Oct 1, 2025 (CDC) - Grades K-12],MATCH(Calculations!$A149,FY26_LE_Data_March20[[ID]:[ID]],0)),0), _xlfn.IFNA(INDEX(FY26_LE_Data_March20[Oct. 1, 2024 - Grades K-12],MATCH(Calculations!$A149,FY26_LE_Data_March20[[ID]:[ID]],0)),0)+_xlfn.IFNA(INDEX(FY26_LE_Data_March20[Oct. 1, 2024 - SPED Self-Contained],MATCH(Calculations!$A149,FY26_LE_Data_March20[[ID]:[ID]],0)),0))</f>
        <v>339</v>
      </c>
      <c r="F149" s="1">
        <f t="shared" si="5"/>
        <v>15940.077284003983</v>
      </c>
      <c r="G149" s="7"/>
    </row>
    <row r="150" spans="1:7" x14ac:dyDescent="0.3">
      <c r="A150" s="43" t="s">
        <v>241</v>
      </c>
      <c r="B150" s="55" t="s">
        <v>242</v>
      </c>
      <c r="C150" s="43" t="str">
        <f>_xlfn.IFNA(INDEX(FY26_LE_Data_March20[Type],MATCH(Calculations!$A150,FY26_LE_Data_March20[[ID]:[ID]],0)),0)</f>
        <v>Charter</v>
      </c>
      <c r="D150" s="43" t="s">
        <v>503</v>
      </c>
      <c r="E150" s="58">
        <f>IF(D150="Yes", _xlfn.IFNA(INDEX(FY26_LE_Data_March20[Oct 1, 2025 (CDC) - Grades K-12],MATCH(Calculations!$A150,FY26_LE_Data_March20[[ID]:[ID]],0)),0), _xlfn.IFNA(INDEX(FY26_LE_Data_March20[Oct. 1, 2024 - Grades K-12],MATCH(Calculations!$A150,FY26_LE_Data_March20[[ID]:[ID]],0)),0)+_xlfn.IFNA(INDEX(FY26_LE_Data_March20[Oct. 1, 2024 - SPED Self-Contained],MATCH(Calculations!$A150,FY26_LE_Data_March20[[ID]:[ID]],0)),0))</f>
        <v>441</v>
      </c>
      <c r="F150" s="1">
        <f t="shared" si="5"/>
        <v>19059.378515617489</v>
      </c>
      <c r="G150" s="7"/>
    </row>
    <row r="151" spans="1:7" x14ac:dyDescent="0.3">
      <c r="A151" s="43" t="s">
        <v>243</v>
      </c>
      <c r="B151" s="55" t="s">
        <v>743</v>
      </c>
      <c r="C151" s="43" t="str">
        <f>_xlfn.IFNA(INDEX(FY26_LE_Data_March20[Type],MATCH(Calculations!$A151,FY26_LE_Data_March20[[ID]:[ID]],0)),0)</f>
        <v>Charter</v>
      </c>
      <c r="D151" s="43" t="s">
        <v>503</v>
      </c>
      <c r="E151" s="58">
        <f>IF(D151="Yes", _xlfn.IFNA(INDEX(FY26_LE_Data_March20[Oct 1, 2025 (CDC) - Grades K-12],MATCH(Calculations!$A151,FY26_LE_Data_March20[[ID]:[ID]],0)),0), _xlfn.IFNA(INDEX(FY26_LE_Data_March20[Oct. 1, 2024 - Grades K-12],MATCH(Calculations!$A151,FY26_LE_Data_March20[[ID]:[ID]],0)),0)+_xlfn.IFNA(INDEX(FY26_LE_Data_March20[Oct. 1, 2024 - SPED Self-Contained],MATCH(Calculations!$A151,FY26_LE_Data_March20[[ID]:[ID]],0)),0))</f>
        <v>855</v>
      </c>
      <c r="F151" s="1">
        <f t="shared" si="5"/>
        <v>31720.071749813491</v>
      </c>
      <c r="G151" s="7"/>
    </row>
    <row r="152" spans="1:7" x14ac:dyDescent="0.3">
      <c r="A152" s="43" t="s">
        <v>246</v>
      </c>
      <c r="B152" s="54" t="s">
        <v>247</v>
      </c>
      <c r="C152" s="43" t="str">
        <f>_xlfn.IFNA(INDEX(FY26_LE_Data_March20[Type],MATCH(Calculations!$A152,FY26_LE_Data_March20[[ID]:[ID]],0)),0)</f>
        <v>Charter</v>
      </c>
      <c r="D152" s="43" t="s">
        <v>503</v>
      </c>
      <c r="E152" s="58">
        <f>IF(D152="Yes", _xlfn.IFNA(INDEX(FY26_LE_Data_March20[Oct 1, 2025 (CDC) - Grades K-12],MATCH(Calculations!$A152,FY26_LE_Data_March20[[ID]:[ID]],0)),0), _xlfn.IFNA(INDEX(FY26_LE_Data_March20[Oct. 1, 2024 - Grades K-12],MATCH(Calculations!$A152,FY26_LE_Data_March20[[ID]:[ID]],0)),0)+_xlfn.IFNA(INDEX(FY26_LE_Data_March20[Oct. 1, 2024 - SPED Self-Contained],MATCH(Calculations!$A152,FY26_LE_Data_March20[[ID]:[ID]],0)),0))</f>
        <v>361</v>
      </c>
      <c r="F152" s="1">
        <f t="shared" si="5"/>
        <v>16612.867745724543</v>
      </c>
      <c r="G152" s="7"/>
    </row>
    <row r="153" spans="1:7" x14ac:dyDescent="0.3">
      <c r="A153" s="43" t="s">
        <v>248</v>
      </c>
      <c r="B153" s="54" t="s">
        <v>249</v>
      </c>
      <c r="C153" s="43" t="str">
        <f>_xlfn.IFNA(INDEX(FY26_LE_Data_March20[Type],MATCH(Calculations!$A153,FY26_LE_Data_March20[[ID]:[ID]],0)),0)</f>
        <v>Charter</v>
      </c>
      <c r="D153" s="43" t="s">
        <v>503</v>
      </c>
      <c r="E153" s="58">
        <f>IF(D153="Yes", _xlfn.IFNA(INDEX(FY26_LE_Data_March20[Oct 1, 2025 (CDC) - Grades K-12],MATCH(Calculations!$A153,FY26_LE_Data_March20[[ID]:[ID]],0)),0), _xlfn.IFNA(INDEX(FY26_LE_Data_March20[Oct. 1, 2024 - Grades K-12],MATCH(Calculations!$A153,FY26_LE_Data_March20[[ID]:[ID]],0)),0)+_xlfn.IFNA(INDEX(FY26_LE_Data_March20[Oct. 1, 2024 - SPED Self-Contained],MATCH(Calculations!$A153,FY26_LE_Data_March20[[ID]:[ID]],0)),0))</f>
        <v>565</v>
      </c>
      <c r="F153" s="1">
        <f t="shared" si="5"/>
        <v>22851.470208951559</v>
      </c>
      <c r="G153" s="7"/>
    </row>
    <row r="154" spans="1:7" x14ac:dyDescent="0.3">
      <c r="A154" s="43" t="s">
        <v>250</v>
      </c>
      <c r="B154" s="55" t="s">
        <v>251</v>
      </c>
      <c r="C154" s="43" t="str">
        <f>_xlfn.IFNA(INDEX(FY26_LE_Data_March20[Type],MATCH(Calculations!$A154,FY26_LE_Data_March20[[ID]:[ID]],0)),0)</f>
        <v>Charter</v>
      </c>
      <c r="D154" s="43" t="s">
        <v>503</v>
      </c>
      <c r="E154" s="58">
        <f>IF(D154="Yes", _xlfn.IFNA(INDEX(FY26_LE_Data_March20[Oct 1, 2025 (CDC) - Grades K-12],MATCH(Calculations!$A154,FY26_LE_Data_March20[[ID]:[ID]],0)),0), _xlfn.IFNA(INDEX(FY26_LE_Data_March20[Oct. 1, 2024 - Grades K-12],MATCH(Calculations!$A154,FY26_LE_Data_March20[[ID]:[ID]],0)),0)+_xlfn.IFNA(INDEX(FY26_LE_Data_March20[Oct. 1, 2024 - SPED Self-Contained],MATCH(Calculations!$A154,FY26_LE_Data_March20[[ID]:[ID]],0)),0))</f>
        <v>498</v>
      </c>
      <c r="F154" s="1">
        <f t="shared" si="5"/>
        <v>20802.517439166215</v>
      </c>
      <c r="G154" s="7"/>
    </row>
    <row r="155" spans="1:7" x14ac:dyDescent="0.3">
      <c r="A155" s="43" t="s">
        <v>489</v>
      </c>
      <c r="B155" s="44" t="s">
        <v>490</v>
      </c>
      <c r="C155" s="43" t="str">
        <f>_xlfn.IFNA(INDEX(FY26_LE_Data_March20[Type],MATCH(Calculations!$A155,FY26_LE_Data_March20[[ID]:[ID]],0)),0)</f>
        <v>Charter</v>
      </c>
      <c r="D155" s="43" t="s">
        <v>503</v>
      </c>
      <c r="E155" s="58">
        <f>IF(D155="Yes", _xlfn.IFNA(INDEX(FY26_LE_Data_March20[Oct 1, 2025 (CDC) - Grades K-12],MATCH(Calculations!$A155,FY26_LE_Data_March20[[ID]:[ID]],0)),0), _xlfn.IFNA(INDEX(FY26_LE_Data_March20[Oct. 1, 2024 - Grades K-12],MATCH(Calculations!$A155,FY26_LE_Data_March20[[ID]:[ID]],0)),0)+_xlfn.IFNA(INDEX(FY26_LE_Data_March20[Oct. 1, 2024 - SPED Self-Contained],MATCH(Calculations!$A155,FY26_LE_Data_March20[[ID]:[ID]],0)),0))</f>
        <v>235</v>
      </c>
      <c r="F155" s="1">
        <f t="shared" si="5"/>
        <v>12759.613283143151</v>
      </c>
    </row>
    <row r="156" spans="1:7" x14ac:dyDescent="0.3">
      <c r="A156" s="43" t="s">
        <v>495</v>
      </c>
      <c r="B156" s="44" t="s">
        <v>497</v>
      </c>
      <c r="C156" s="43" t="str">
        <f>_xlfn.IFNA(INDEX(FY26_LE_Data_March20[Type],MATCH(Calculations!$A156,FY26_LE_Data_March20[[ID]:[ID]],0)),0)</f>
        <v>Charter</v>
      </c>
      <c r="D156" s="43" t="s">
        <v>504</v>
      </c>
      <c r="E156" s="58">
        <f>IF(D156="Yes", _xlfn.IFNA(INDEX(FY26_LE_Data_March20[Oct 1, 2025 (CDC) - Grades K-12],MATCH(Calculations!$A156,FY26_LE_Data_March20[[ID]:[ID]],0)),0), _xlfn.IFNA(INDEX(FY26_LE_Data_March20[Oct. 1, 2024 - Grades K-12],MATCH(Calculations!$A156,FY26_LE_Data_March20[[ID]:[ID]],0)),0)+_xlfn.IFNA(INDEX(FY26_LE_Data_March20[Oct. 1, 2024 - SPED Self-Contained],MATCH(Calculations!$A156,FY26_LE_Data_March20[[ID]:[ID]],0)),0))</f>
        <v>140</v>
      </c>
      <c r="F156" s="1">
        <f t="shared" si="5"/>
        <v>9854.3817438952774</v>
      </c>
    </row>
    <row r="157" spans="1:7" x14ac:dyDescent="0.3">
      <c r="A157" s="56" t="s">
        <v>498</v>
      </c>
      <c r="B157" s="57" t="s">
        <v>500</v>
      </c>
      <c r="C157" s="4" t="str">
        <f>_xlfn.IFNA(INDEX(FY26_LE_Data_March20[Type],MATCH(Calculations!$A157,FY26_LE_Data_March20[[ID]:[ID]],0)),0)</f>
        <v>Charter</v>
      </c>
      <c r="D157" s="56" t="s">
        <v>504</v>
      </c>
      <c r="E157" s="58">
        <f>IF(D157="Yes", _xlfn.IFNA(INDEX(FY26_LE_Data_March20[Oct 1, 2025 (CDC) - Grades K-12],MATCH(Calculations!$A157,FY26_LE_Data_March20[[ID]:[ID]],0)),0), _xlfn.IFNA(INDEX(FY26_LE_Data_March20[Oct. 1, 2024 - Grades K-12],MATCH(Calculations!$A157,FY26_LE_Data_March20[[ID]:[ID]],0)),0)+_xlfn.IFNA(INDEX(FY26_LE_Data_March20[Oct. 1, 2024 - SPED Self-Contained],MATCH(Calculations!$A157,FY26_LE_Data_March20[[ID]:[ID]],0)),0))</f>
        <v>145</v>
      </c>
      <c r="F157" s="1">
        <f t="shared" si="5"/>
        <v>10007.288667013587</v>
      </c>
    </row>
    <row r="158" spans="1:7" x14ac:dyDescent="0.3">
      <c r="A158" s="18"/>
      <c r="B158" s="3"/>
      <c r="C158" s="3"/>
      <c r="D158" s="9"/>
      <c r="E158" s="10"/>
    </row>
    <row r="159" spans="1:7" x14ac:dyDescent="0.3">
      <c r="A159" s="4">
        <v>41</v>
      </c>
      <c r="B159" s="2" t="s">
        <v>245</v>
      </c>
      <c r="C159" s="4" t="str">
        <f>_xlfn.IFNA(INDEX(FY26_LE_Data_March20[Type],MATCH(Calculations!$A159,FY26_LE_Data_March20[[ID]:[ID]],0)),0)</f>
        <v>Other</v>
      </c>
      <c r="D159" s="4" t="s">
        <v>503</v>
      </c>
      <c r="E159" s="59">
        <f>'Data Table 3.20.2025'!CP42+'Data Table 3.20.2025'!CR42</f>
        <v>196.31111111111068</v>
      </c>
      <c r="F159" s="1">
        <f>IF(OR(C159="District",C159="Other"),$E$176+(E159*$E$177),$E$169+(E159*$E$170))</f>
        <v>114858.68892311066</v>
      </c>
    </row>
    <row r="160" spans="1:7" x14ac:dyDescent="0.3">
      <c r="A160" s="18"/>
      <c r="B160" s="3"/>
      <c r="C160" s="3"/>
      <c r="D160" s="9"/>
      <c r="E160" s="10"/>
    </row>
    <row r="161" spans="3:9" x14ac:dyDescent="0.3">
      <c r="C161" s="66" t="s">
        <v>244</v>
      </c>
      <c r="D161" s="66"/>
      <c r="E161" s="60">
        <f>SUM(E3:E159)</f>
        <v>681099.31111111108</v>
      </c>
      <c r="F161" s="60">
        <f>SUM(F3:F159)</f>
        <v>26036199.999999996</v>
      </c>
    </row>
    <row r="163" spans="3:9" x14ac:dyDescent="0.3">
      <c r="C163" s="65" t="s">
        <v>755</v>
      </c>
      <c r="D163" s="65"/>
      <c r="E163" s="5">
        <v>26036200</v>
      </c>
      <c r="I163" s="12"/>
    </row>
    <row r="165" spans="3:9" x14ac:dyDescent="0.3">
      <c r="C165" s="65" t="s">
        <v>756</v>
      </c>
      <c r="D165" s="65"/>
      <c r="E165" s="60">
        <f>COUNTIF($C$3:$C$159,"Charter")</f>
        <v>114</v>
      </c>
      <c r="I165" s="12"/>
    </row>
    <row r="166" spans="3:9" x14ac:dyDescent="0.3">
      <c r="C166" s="65" t="s">
        <v>751</v>
      </c>
      <c r="D166" s="65"/>
      <c r="E166" s="60">
        <f>SUMIF($C$3:$C$159,"Charter", $E$3:$E$159)</f>
        <v>83099</v>
      </c>
    </row>
    <row r="167" spans="3:9" x14ac:dyDescent="0.3">
      <c r="C167" s="65" t="s">
        <v>750</v>
      </c>
      <c r="D167" s="65"/>
      <c r="E167" s="61">
        <f>E166/E161</f>
        <v>0.12200717082570012</v>
      </c>
      <c r="F167" s="64"/>
    </row>
    <row r="168" spans="3:9" x14ac:dyDescent="0.3">
      <c r="C168" s="65" t="s">
        <v>763</v>
      </c>
      <c r="D168" s="65"/>
      <c r="E168" s="5">
        <f>E167*$E$163</f>
        <v>3176603.1010520933</v>
      </c>
    </row>
    <row r="169" spans="3:9" x14ac:dyDescent="0.3">
      <c r="C169" s="65" t="s">
        <v>758</v>
      </c>
      <c r="D169" s="65"/>
      <c r="E169" s="5">
        <f>(E168*20%)/E165</f>
        <v>5572.9878965826201</v>
      </c>
    </row>
    <row r="170" spans="3:9" x14ac:dyDescent="0.3">
      <c r="C170" s="65" t="s">
        <v>759</v>
      </c>
      <c r="D170" s="65"/>
      <c r="E170" s="62">
        <f>(E168-(E169*E165))/E166</f>
        <v>30.581384623661837</v>
      </c>
    </row>
    <row r="171" spans="3:9" x14ac:dyDescent="0.3">
      <c r="F171" s="8"/>
    </row>
    <row r="172" spans="3:9" x14ac:dyDescent="0.3">
      <c r="C172" s="65" t="s">
        <v>757</v>
      </c>
      <c r="D172" s="65"/>
      <c r="E172" s="60">
        <f>COUNTIF($C$3:$C$159,"District")+COUNTIF($C$3:$C$159,"Other")</f>
        <v>42</v>
      </c>
    </row>
    <row r="173" spans="3:9" x14ac:dyDescent="0.3">
      <c r="C173" s="65" t="s">
        <v>752</v>
      </c>
      <c r="D173" s="65"/>
      <c r="E173" s="60">
        <f>SUMIF($C$3:$C$159,"District", $E$3:$E$159)+SUMIF($C$3:$C$159,"Other", $E$3:$E$159)</f>
        <v>598000.31111111108</v>
      </c>
    </row>
    <row r="174" spans="3:9" x14ac:dyDescent="0.3">
      <c r="C174" s="65" t="s">
        <v>753</v>
      </c>
      <c r="D174" s="65"/>
      <c r="E174" s="61">
        <f>E173/E161</f>
        <v>0.87799282917429988</v>
      </c>
    </row>
    <row r="175" spans="3:9" x14ac:dyDescent="0.3">
      <c r="C175" s="65" t="s">
        <v>754</v>
      </c>
      <c r="D175" s="65"/>
      <c r="E175" s="5">
        <f>E174*$E$163</f>
        <v>22859596.898947906</v>
      </c>
    </row>
    <row r="176" spans="3:9" x14ac:dyDescent="0.3">
      <c r="C176" s="65" t="s">
        <v>760</v>
      </c>
      <c r="D176" s="65"/>
      <c r="E176" s="5">
        <f>(E175*20%)/E172</f>
        <v>108855.22332832337</v>
      </c>
    </row>
    <row r="177" spans="3:6" x14ac:dyDescent="0.3">
      <c r="C177" s="65" t="s">
        <v>761</v>
      </c>
      <c r="D177" s="65"/>
      <c r="E177" s="62">
        <f>(E175-(E176*E172))/E173</f>
        <v>30.581384623661837</v>
      </c>
      <c r="F177" s="8"/>
    </row>
    <row r="178" spans="3:6" x14ac:dyDescent="0.3">
      <c r="F178" s="8"/>
    </row>
    <row r="179" spans="3:6" x14ac:dyDescent="0.3">
      <c r="F179" s="8"/>
    </row>
    <row r="180" spans="3:6" x14ac:dyDescent="0.3">
      <c r="F180" s="12"/>
    </row>
    <row r="181" spans="3:6" x14ac:dyDescent="0.3">
      <c r="F181" s="12"/>
    </row>
  </sheetData>
  <mergeCells count="15">
    <mergeCell ref="A1:F1"/>
    <mergeCell ref="C166:D166"/>
    <mergeCell ref="C173:D173"/>
    <mergeCell ref="C167:D167"/>
    <mergeCell ref="C176:D176"/>
    <mergeCell ref="C177:D177"/>
    <mergeCell ref="C161:D161"/>
    <mergeCell ref="C174:D174"/>
    <mergeCell ref="C168:D168"/>
    <mergeCell ref="C163:D163"/>
    <mergeCell ref="C175:D175"/>
    <mergeCell ref="C165:D165"/>
    <mergeCell ref="C172:D172"/>
    <mergeCell ref="C169:D169"/>
    <mergeCell ref="C170:D170"/>
  </mergeCells>
  <conditionalFormatting sqref="D3:D157">
    <cfRule type="containsText" dxfId="1" priority="3" operator="containsText" text="Yes">
      <formula>NOT(ISERROR(SEARCH("Yes",D3)))</formula>
    </cfRule>
  </conditionalFormatting>
  <conditionalFormatting sqref="D159">
    <cfRule type="containsText" dxfId="0" priority="1" operator="containsText" text="Yes">
      <formula>NOT(ISERROR(SEARCH("Yes",D159)))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1A12-B0BC-4D64-96EB-91A90C4467DE}">
  <dimension ref="A1:EU179"/>
  <sheetViews>
    <sheetView zoomScaleNormal="100" workbookViewId="0">
      <pane xSplit="4" ySplit="1" topLeftCell="CO35" activePane="bottomRight" state="frozen"/>
      <selection pane="topRight" activeCell="E1" sqref="E1"/>
      <selection pane="bottomLeft" activeCell="A2" sqref="A2"/>
      <selection pane="bottomRight" activeCell="C11" sqref="C11"/>
    </sheetView>
  </sheetViews>
  <sheetFormatPr defaultColWidth="11.77734375" defaultRowHeight="13.8" x14ac:dyDescent="0.3"/>
  <cols>
    <col min="1" max="2" width="11.77734375" style="25"/>
    <col min="3" max="76" width="11.77734375" style="24"/>
    <col min="77" max="77" width="11.77734375" style="24" customWidth="1"/>
    <col min="78" max="145" width="11.77734375" style="24"/>
    <col min="146" max="146" width="15.77734375" style="24" customWidth="1"/>
    <col min="147" max="147" width="15.44140625" style="24" customWidth="1"/>
    <col min="148" max="16384" width="11.77734375" style="24"/>
  </cols>
  <sheetData>
    <row r="1" spans="1:151" ht="124.2" x14ac:dyDescent="0.3">
      <c r="A1" s="20" t="s">
        <v>505</v>
      </c>
      <c r="B1" s="20" t="s">
        <v>506</v>
      </c>
      <c r="C1" s="20" t="s">
        <v>507</v>
      </c>
      <c r="D1" s="20" t="s">
        <v>508</v>
      </c>
      <c r="E1" s="20" t="s">
        <v>509</v>
      </c>
      <c r="F1" s="20" t="s">
        <v>510</v>
      </c>
      <c r="G1" s="20" t="s">
        <v>511</v>
      </c>
      <c r="H1" s="20" t="s">
        <v>512</v>
      </c>
      <c r="I1" s="21" t="s">
        <v>513</v>
      </c>
      <c r="J1" s="22" t="s">
        <v>514</v>
      </c>
      <c r="K1" s="22" t="s">
        <v>515</v>
      </c>
      <c r="L1" s="22" t="s">
        <v>516</v>
      </c>
      <c r="M1" s="22" t="s">
        <v>517</v>
      </c>
      <c r="N1" s="23" t="s">
        <v>518</v>
      </c>
      <c r="O1" s="23" t="s">
        <v>519</v>
      </c>
      <c r="P1" s="23" t="s">
        <v>520</v>
      </c>
      <c r="Q1" s="20" t="s">
        <v>521</v>
      </c>
      <c r="R1" s="20" t="s">
        <v>522</v>
      </c>
      <c r="S1" s="20" t="s">
        <v>523</v>
      </c>
      <c r="T1" s="20" t="s">
        <v>524</v>
      </c>
      <c r="U1" s="20" t="s">
        <v>525</v>
      </c>
      <c r="V1" s="20" t="s">
        <v>526</v>
      </c>
      <c r="W1" s="20" t="s">
        <v>527</v>
      </c>
      <c r="X1" s="20" t="s">
        <v>528</v>
      </c>
      <c r="Y1" s="20" t="s">
        <v>529</v>
      </c>
      <c r="Z1" s="20" t="s">
        <v>530</v>
      </c>
      <c r="AA1" s="20" t="s">
        <v>531</v>
      </c>
      <c r="AB1" s="20" t="s">
        <v>532</v>
      </c>
      <c r="AC1" s="20" t="s">
        <v>533</v>
      </c>
      <c r="AD1" s="20" t="s">
        <v>534</v>
      </c>
      <c r="AE1" s="20" t="s">
        <v>535</v>
      </c>
      <c r="AF1" s="20" t="s">
        <v>536</v>
      </c>
      <c r="AG1" s="20" t="s">
        <v>537</v>
      </c>
      <c r="AH1" s="20" t="s">
        <v>538</v>
      </c>
      <c r="AI1" s="20" t="s">
        <v>539</v>
      </c>
      <c r="AJ1" s="20" t="s">
        <v>540</v>
      </c>
      <c r="AK1" s="20" t="s">
        <v>541</v>
      </c>
      <c r="AL1" s="20" t="s">
        <v>542</v>
      </c>
      <c r="AM1" s="20" t="s">
        <v>543</v>
      </c>
      <c r="AN1" s="20" t="s">
        <v>544</v>
      </c>
      <c r="AO1" s="20" t="s">
        <v>545</v>
      </c>
      <c r="AP1" s="20" t="s">
        <v>546</v>
      </c>
      <c r="AQ1" s="20" t="s">
        <v>547</v>
      </c>
      <c r="AR1" s="20" t="s">
        <v>548</v>
      </c>
      <c r="AS1" s="20" t="s">
        <v>549</v>
      </c>
      <c r="AT1" s="20" t="s">
        <v>550</v>
      </c>
      <c r="AU1" s="20" t="s">
        <v>551</v>
      </c>
      <c r="AV1" s="20" t="s">
        <v>552</v>
      </c>
      <c r="AW1" s="20" t="s">
        <v>553</v>
      </c>
      <c r="AX1" s="20" t="s">
        <v>554</v>
      </c>
      <c r="AY1" s="20" t="s">
        <v>555</v>
      </c>
      <c r="AZ1" s="20" t="s">
        <v>556</v>
      </c>
      <c r="BA1" s="20" t="s">
        <v>557</v>
      </c>
      <c r="BB1" s="20" t="s">
        <v>558</v>
      </c>
      <c r="BC1" s="20" t="s">
        <v>559</v>
      </c>
      <c r="BD1" s="20" t="s">
        <v>560</v>
      </c>
      <c r="BE1" s="20" t="s">
        <v>561</v>
      </c>
      <c r="BF1" s="20" t="s">
        <v>562</v>
      </c>
      <c r="BG1" s="20" t="s">
        <v>563</v>
      </c>
      <c r="BH1" s="20" t="s">
        <v>564</v>
      </c>
      <c r="BI1" s="20" t="s">
        <v>565</v>
      </c>
      <c r="BJ1" s="20" t="s">
        <v>566</v>
      </c>
      <c r="BK1" s="20" t="s">
        <v>567</v>
      </c>
      <c r="BL1" s="20" t="s">
        <v>568</v>
      </c>
      <c r="BM1" s="20" t="s">
        <v>569</v>
      </c>
      <c r="BN1" s="23" t="s">
        <v>570</v>
      </c>
      <c r="BO1" s="23" t="s">
        <v>571</v>
      </c>
      <c r="BP1" s="23" t="s">
        <v>572</v>
      </c>
      <c r="BQ1" s="23" t="s">
        <v>573</v>
      </c>
      <c r="BR1" s="23" t="s">
        <v>574</v>
      </c>
      <c r="BS1" s="23" t="s">
        <v>575</v>
      </c>
      <c r="BT1" s="23" t="s">
        <v>576</v>
      </c>
      <c r="BU1" s="23" t="s">
        <v>577</v>
      </c>
      <c r="BV1" s="23" t="s">
        <v>578</v>
      </c>
      <c r="BW1" s="23" t="s">
        <v>579</v>
      </c>
      <c r="BX1" s="23" t="s">
        <v>580</v>
      </c>
      <c r="BY1" s="23" t="s">
        <v>581</v>
      </c>
      <c r="BZ1" s="23" t="s">
        <v>582</v>
      </c>
      <c r="CA1" s="23" t="s">
        <v>583</v>
      </c>
      <c r="CB1" s="23" t="s">
        <v>584</v>
      </c>
      <c r="CC1" s="23" t="s">
        <v>585</v>
      </c>
      <c r="CD1" s="23" t="s">
        <v>586</v>
      </c>
      <c r="CE1" s="23" t="s">
        <v>587</v>
      </c>
      <c r="CF1" s="23" t="s">
        <v>588</v>
      </c>
      <c r="CG1" s="23" t="s">
        <v>589</v>
      </c>
      <c r="CH1" s="23" t="s">
        <v>590</v>
      </c>
      <c r="CI1" s="23" t="s">
        <v>591</v>
      </c>
      <c r="CJ1" s="23" t="s">
        <v>592</v>
      </c>
      <c r="CK1" s="23" t="s">
        <v>593</v>
      </c>
      <c r="CL1" s="23" t="s">
        <v>594</v>
      </c>
      <c r="CM1" s="23" t="s">
        <v>595</v>
      </c>
      <c r="CN1" s="23" t="s">
        <v>596</v>
      </c>
      <c r="CO1" s="23" t="s">
        <v>597</v>
      </c>
      <c r="CP1" s="23" t="s">
        <v>598</v>
      </c>
      <c r="CQ1" s="23" t="s">
        <v>599</v>
      </c>
      <c r="CR1" s="23" t="s">
        <v>600</v>
      </c>
      <c r="CS1" s="23" t="s">
        <v>601</v>
      </c>
      <c r="CT1" s="23" t="s">
        <v>764</v>
      </c>
      <c r="CU1" s="23" t="s">
        <v>602</v>
      </c>
      <c r="CV1" s="23" t="s">
        <v>603</v>
      </c>
      <c r="CW1" s="23" t="s">
        <v>604</v>
      </c>
      <c r="CX1" s="23" t="s">
        <v>605</v>
      </c>
      <c r="CY1" s="23" t="s">
        <v>606</v>
      </c>
      <c r="CZ1" s="23" t="s">
        <v>607</v>
      </c>
      <c r="DA1" s="23" t="s">
        <v>608</v>
      </c>
      <c r="DB1" s="23" t="s">
        <v>609</v>
      </c>
      <c r="DC1" s="23" t="s">
        <v>610</v>
      </c>
      <c r="DD1" s="23" t="s">
        <v>611</v>
      </c>
      <c r="DE1" s="23" t="s">
        <v>612</v>
      </c>
      <c r="DF1" s="23" t="s">
        <v>613</v>
      </c>
      <c r="DG1" s="23" t="s">
        <v>614</v>
      </c>
      <c r="DH1" s="23" t="s">
        <v>615</v>
      </c>
      <c r="DI1" s="23" t="s">
        <v>616</v>
      </c>
      <c r="DJ1" s="23" t="s">
        <v>617</v>
      </c>
      <c r="DK1" s="23" t="s">
        <v>618</v>
      </c>
      <c r="DL1" s="23" t="s">
        <v>619</v>
      </c>
      <c r="DM1" s="23" t="s">
        <v>620</v>
      </c>
      <c r="DN1" s="23" t="s">
        <v>621</v>
      </c>
      <c r="DO1" s="23" t="s">
        <v>622</v>
      </c>
      <c r="DP1" s="23" t="s">
        <v>623</v>
      </c>
      <c r="DQ1" s="23" t="s">
        <v>624</v>
      </c>
      <c r="DR1" s="23" t="s">
        <v>625</v>
      </c>
      <c r="DS1" s="23" t="s">
        <v>626</v>
      </c>
      <c r="DT1" s="23" t="s">
        <v>627</v>
      </c>
      <c r="DU1" s="23" t="s">
        <v>628</v>
      </c>
      <c r="DV1" s="23" t="s">
        <v>629</v>
      </c>
      <c r="DW1" s="23" t="s">
        <v>630</v>
      </c>
      <c r="DX1" s="23" t="s">
        <v>631</v>
      </c>
      <c r="DY1" s="23" t="s">
        <v>632</v>
      </c>
      <c r="DZ1" s="23" t="s">
        <v>633</v>
      </c>
      <c r="EA1" s="23" t="s">
        <v>634</v>
      </c>
      <c r="EB1" s="23" t="s">
        <v>635</v>
      </c>
      <c r="EC1" s="23" t="s">
        <v>636</v>
      </c>
      <c r="ED1" s="23" t="s">
        <v>637</v>
      </c>
      <c r="EE1" s="23" t="s">
        <v>638</v>
      </c>
      <c r="EF1" s="23" t="s">
        <v>639</v>
      </c>
      <c r="EG1" s="23" t="s">
        <v>640</v>
      </c>
      <c r="EH1" s="23" t="s">
        <v>641</v>
      </c>
      <c r="EI1" s="23" t="s">
        <v>642</v>
      </c>
      <c r="EJ1" s="23" t="s">
        <v>643</v>
      </c>
      <c r="EK1" s="23" t="s">
        <v>644</v>
      </c>
      <c r="EL1" s="23" t="s">
        <v>645</v>
      </c>
      <c r="EM1" s="23" t="s">
        <v>746</v>
      </c>
      <c r="EN1" s="23" t="s">
        <v>747</v>
      </c>
      <c r="EO1" s="23" t="s">
        <v>646</v>
      </c>
      <c r="EP1" s="23" t="s">
        <v>765</v>
      </c>
      <c r="EQ1" s="23" t="s">
        <v>766</v>
      </c>
      <c r="ER1" s="23" t="s">
        <v>767</v>
      </c>
      <c r="ES1" s="23" t="s">
        <v>768</v>
      </c>
      <c r="ET1" s="23" t="s">
        <v>769</v>
      </c>
      <c r="EU1" s="23" t="s">
        <v>770</v>
      </c>
    </row>
    <row r="2" spans="1:151" ht="27.6" x14ac:dyDescent="0.3">
      <c r="A2" s="25">
        <v>1</v>
      </c>
      <c r="B2" s="26" t="s">
        <v>260</v>
      </c>
      <c r="C2" s="27" t="s">
        <v>647</v>
      </c>
      <c r="D2" s="27" t="s">
        <v>261</v>
      </c>
      <c r="E2" s="26" t="s">
        <v>504</v>
      </c>
      <c r="F2" s="26" t="s">
        <v>504</v>
      </c>
      <c r="G2" s="28">
        <v>6976.2333333333336</v>
      </c>
      <c r="H2" s="28">
        <v>1584.7277777777779</v>
      </c>
      <c r="I2" s="29">
        <v>5738</v>
      </c>
      <c r="J2" s="29">
        <v>37703</v>
      </c>
      <c r="K2" s="29">
        <v>13519</v>
      </c>
      <c r="L2" s="29">
        <v>27706</v>
      </c>
      <c r="M2" s="29">
        <v>84666</v>
      </c>
      <c r="N2" s="29">
        <v>78928</v>
      </c>
      <c r="O2" s="29">
        <v>56960</v>
      </c>
      <c r="P2" s="29">
        <v>1484</v>
      </c>
      <c r="Q2" s="27">
        <v>5611.583333333333</v>
      </c>
      <c r="R2" s="27">
        <v>6203.1555555555551</v>
      </c>
      <c r="S2" s="27">
        <v>6133.1611111111115</v>
      </c>
      <c r="T2" s="27">
        <v>6039.7777777777774</v>
      </c>
      <c r="U2" s="27">
        <v>6224.9888888888891</v>
      </c>
      <c r="V2" s="27">
        <v>6179.3888888888887</v>
      </c>
      <c r="W2" s="27">
        <v>6201.1333333333332</v>
      </c>
      <c r="X2" s="27">
        <v>6599.9444444444443</v>
      </c>
      <c r="Y2" s="27">
        <v>6694.3444444444449</v>
      </c>
      <c r="Z2" s="27">
        <v>6778.8611111111113</v>
      </c>
      <c r="AA2" s="27">
        <v>7091.3555555555558</v>
      </c>
      <c r="AB2" s="27">
        <v>6596.416666666667</v>
      </c>
      <c r="AC2" s="27">
        <v>5788.6944444444443</v>
      </c>
      <c r="AD2" s="27">
        <v>36981.60555555555</v>
      </c>
      <c r="AE2" s="27">
        <v>13294.288888888888</v>
      </c>
      <c r="AF2" s="27">
        <v>26255.32777777778</v>
      </c>
      <c r="AG2" s="27">
        <v>55887.477777777778</v>
      </c>
      <c r="AH2" s="27">
        <v>76531.222222222219</v>
      </c>
      <c r="AI2" s="27">
        <v>82142.805555555547</v>
      </c>
      <c r="AJ2" s="28">
        <v>7415.7333333333336</v>
      </c>
      <c r="AK2" s="28">
        <v>1644.0555555555557</v>
      </c>
      <c r="AL2" s="28">
        <v>9059.7888888888883</v>
      </c>
      <c r="AM2" s="29">
        <v>5514</v>
      </c>
      <c r="AN2" s="29">
        <v>5789</v>
      </c>
      <c r="AO2" s="27">
        <v>6303</v>
      </c>
      <c r="AP2" s="27">
        <v>6262</v>
      </c>
      <c r="AQ2" s="27">
        <v>6151</v>
      </c>
      <c r="AR2" s="27">
        <v>6391</v>
      </c>
      <c r="AS2" s="27">
        <v>6333</v>
      </c>
      <c r="AT2" s="27">
        <v>6727</v>
      </c>
      <c r="AU2" s="27">
        <v>6839</v>
      </c>
      <c r="AV2" s="27">
        <v>6960</v>
      </c>
      <c r="AW2" s="27">
        <v>7302</v>
      </c>
      <c r="AX2" s="27">
        <v>7272</v>
      </c>
      <c r="AY2" s="27">
        <v>6867</v>
      </c>
      <c r="AZ2" s="27">
        <v>37229</v>
      </c>
      <c r="BA2" s="27">
        <v>13566</v>
      </c>
      <c r="BB2" s="27">
        <v>28401</v>
      </c>
      <c r="BC2" s="27">
        <v>56309</v>
      </c>
      <c r="BD2" s="27">
        <v>79196</v>
      </c>
      <c r="BE2" s="27">
        <v>84710</v>
      </c>
      <c r="BF2" s="27">
        <v>2456</v>
      </c>
      <c r="BG2" s="27">
        <v>3058</v>
      </c>
      <c r="BH2" s="27">
        <v>50</v>
      </c>
      <c r="BI2" s="27">
        <v>18369</v>
      </c>
      <c r="BJ2" s="27">
        <v>7750</v>
      </c>
      <c r="BK2" s="29">
        <v>1707</v>
      </c>
      <c r="BL2" s="29">
        <v>9457</v>
      </c>
      <c r="BM2" s="29">
        <v>4859</v>
      </c>
      <c r="BN2" s="30">
        <v>8.2795504515801921E-2</v>
      </c>
      <c r="BO2" s="31">
        <v>4244.2670000000026</v>
      </c>
      <c r="BP2" s="31">
        <v>4031.267000000003</v>
      </c>
      <c r="BQ2" s="31">
        <v>3763.1393800000001</v>
      </c>
      <c r="BR2" s="31">
        <v>4153.4163800000133</v>
      </c>
      <c r="BS2" s="32">
        <v>251</v>
      </c>
      <c r="BT2" s="32">
        <v>26</v>
      </c>
      <c r="BU2" s="33">
        <v>1686.7833330000001</v>
      </c>
      <c r="BV2" s="33">
        <v>2930.144444</v>
      </c>
      <c r="BW2" s="33">
        <v>2450.6888880000001</v>
      </c>
      <c r="BX2" s="33">
        <v>5380.833333333333</v>
      </c>
      <c r="BY2" s="33">
        <v>5702.3055555555557</v>
      </c>
      <c r="BZ2" s="33">
        <v>6176.4833333333336</v>
      </c>
      <c r="CA2" s="33">
        <v>6127.5</v>
      </c>
      <c r="CB2" s="33">
        <v>6026.8444444444449</v>
      </c>
      <c r="CC2" s="33">
        <v>6270.3666666666668</v>
      </c>
      <c r="CD2" s="33">
        <v>6217.7</v>
      </c>
      <c r="CE2" s="33">
        <v>6604.7555555555555</v>
      </c>
      <c r="CF2" s="33">
        <v>6719.7722222222219</v>
      </c>
      <c r="CG2" s="33">
        <v>6810.4555555555553</v>
      </c>
      <c r="CH2" s="33">
        <v>7122.7333333333336</v>
      </c>
      <c r="CI2" s="33">
        <v>7028.8388888888885</v>
      </c>
      <c r="CJ2" s="33">
        <v>5858.8055555555557</v>
      </c>
      <c r="CK2" s="33">
        <v>36521.199999999997</v>
      </c>
      <c r="CL2" s="33">
        <v>13324.527777777777</v>
      </c>
      <c r="CM2" s="33">
        <v>26820.833333333332</v>
      </c>
      <c r="CN2" s="33">
        <v>55226.561111111107</v>
      </c>
      <c r="CO2" s="33">
        <v>76666.561111111121</v>
      </c>
      <c r="CP2" s="33">
        <v>82047.39444444445</v>
      </c>
      <c r="CQ2" s="33">
        <v>7661.65</v>
      </c>
      <c r="CR2" s="33">
        <v>1690.6055555555599</v>
      </c>
      <c r="CS2" s="33">
        <v>9352.2555555555591</v>
      </c>
      <c r="CT2" s="33">
        <v>1734.572222</v>
      </c>
      <c r="CU2" s="33">
        <v>5171</v>
      </c>
      <c r="CV2" s="32">
        <v>264</v>
      </c>
      <c r="CW2" s="32">
        <v>5435</v>
      </c>
      <c r="CX2" s="32">
        <v>5655</v>
      </c>
      <c r="CY2" s="32">
        <v>5877</v>
      </c>
      <c r="CZ2" s="32">
        <v>6358</v>
      </c>
      <c r="DA2" s="32">
        <v>6326</v>
      </c>
      <c r="DB2" s="32">
        <v>6248</v>
      </c>
      <c r="DC2" s="32">
        <v>6522</v>
      </c>
      <c r="DD2" s="32">
        <v>6847</v>
      </c>
      <c r="DE2" s="32">
        <v>6832</v>
      </c>
      <c r="DF2" s="32">
        <v>6942</v>
      </c>
      <c r="DG2" s="32">
        <v>7223</v>
      </c>
      <c r="DH2" s="32">
        <v>7251</v>
      </c>
      <c r="DI2" s="32">
        <v>7241</v>
      </c>
      <c r="DJ2" s="32">
        <v>36986</v>
      </c>
      <c r="DK2" s="32">
        <v>13679</v>
      </c>
      <c r="DL2" s="32">
        <v>28657</v>
      </c>
      <c r="DM2" s="32">
        <v>56100</v>
      </c>
      <c r="DN2" s="32">
        <v>79322</v>
      </c>
      <c r="DO2" s="32">
        <v>84757</v>
      </c>
      <c r="DP2" s="32">
        <v>58</v>
      </c>
      <c r="DQ2" s="32">
        <v>16760</v>
      </c>
      <c r="DR2" s="32">
        <v>7822</v>
      </c>
      <c r="DS2" s="32">
        <v>1736</v>
      </c>
      <c r="DT2" s="32">
        <v>9558</v>
      </c>
      <c r="DU2" s="32">
        <v>4917</v>
      </c>
      <c r="DV2" s="33">
        <v>4326.7520000000031</v>
      </c>
      <c r="DW2" s="33">
        <v>4113.7519999999968</v>
      </c>
      <c r="DX2" s="33">
        <v>1890.559</v>
      </c>
      <c r="DY2" s="33">
        <v>1669.7139999999977</v>
      </c>
      <c r="DZ2" s="33">
        <v>9.3330000000000002</v>
      </c>
      <c r="EA2" s="33">
        <v>4396.8380000000143</v>
      </c>
      <c r="EB2" s="34">
        <v>8.476733678353332E-2</v>
      </c>
      <c r="EC2" s="32"/>
      <c r="ED2" s="32">
        <v>5380</v>
      </c>
      <c r="EE2" s="32">
        <v>78520</v>
      </c>
      <c r="EF2" s="32"/>
      <c r="EG2" s="32"/>
      <c r="EH2" s="33"/>
      <c r="EI2" s="32">
        <v>83900</v>
      </c>
      <c r="EJ2" s="32">
        <v>1113</v>
      </c>
      <c r="EK2" s="32">
        <v>9587</v>
      </c>
      <c r="EL2" s="32">
        <v>10700</v>
      </c>
      <c r="EM2" s="32">
        <v>7854</v>
      </c>
      <c r="EN2" s="32">
        <v>1733</v>
      </c>
      <c r="EO2" s="32">
        <v>330</v>
      </c>
      <c r="EP2" s="33">
        <v>11.625</v>
      </c>
      <c r="EQ2" s="33">
        <v>73</v>
      </c>
      <c r="ER2" s="33">
        <v>182.72</v>
      </c>
      <c r="ES2" s="33">
        <v>149.30000000000001</v>
      </c>
      <c r="ET2" s="33">
        <v>260.93799999999999</v>
      </c>
      <c r="EU2" s="33">
        <v>677.58300000000008</v>
      </c>
    </row>
    <row r="3" spans="1:151" ht="41.4" x14ac:dyDescent="0.3">
      <c r="A3" s="25">
        <v>2</v>
      </c>
      <c r="B3" s="26" t="s">
        <v>262</v>
      </c>
      <c r="C3" s="27" t="s">
        <v>648</v>
      </c>
      <c r="D3" s="27" t="s">
        <v>261</v>
      </c>
      <c r="E3" s="26" t="s">
        <v>504</v>
      </c>
      <c r="F3" s="26" t="s">
        <v>504</v>
      </c>
      <c r="G3" s="28">
        <v>201.9</v>
      </c>
      <c r="H3" s="28">
        <v>19.711111111111112</v>
      </c>
      <c r="I3" s="29">
        <v>102</v>
      </c>
      <c r="J3" s="29">
        <v>672</v>
      </c>
      <c r="K3" s="29">
        <v>247</v>
      </c>
      <c r="L3" s="29">
        <v>486</v>
      </c>
      <c r="M3" s="29">
        <v>1507</v>
      </c>
      <c r="N3" s="29">
        <v>1405</v>
      </c>
      <c r="O3" s="29">
        <v>1021</v>
      </c>
      <c r="P3" s="29">
        <v>21</v>
      </c>
      <c r="Q3" s="27">
        <v>102.63888888888889</v>
      </c>
      <c r="R3" s="27">
        <v>117.03888888888889</v>
      </c>
      <c r="S3" s="27">
        <v>105.44444444444444</v>
      </c>
      <c r="T3" s="27">
        <v>111.28888888888889</v>
      </c>
      <c r="U3" s="27">
        <v>114.83333333333333</v>
      </c>
      <c r="V3" s="27">
        <v>109.15555555555555</v>
      </c>
      <c r="W3" s="27">
        <v>108.29444444444445</v>
      </c>
      <c r="X3" s="27">
        <v>128.25555555555556</v>
      </c>
      <c r="Y3" s="27">
        <v>114.07222222222222</v>
      </c>
      <c r="Z3" s="27">
        <v>138.60555555555555</v>
      </c>
      <c r="AA3" s="27">
        <v>101.6</v>
      </c>
      <c r="AB3" s="27">
        <v>106.8</v>
      </c>
      <c r="AC3" s="27">
        <v>110.68333333333334</v>
      </c>
      <c r="AD3" s="27">
        <v>666.05555555555554</v>
      </c>
      <c r="AE3" s="27">
        <v>242.32777777777778</v>
      </c>
      <c r="AF3" s="27">
        <v>457.68888888888887</v>
      </c>
      <c r="AG3" s="27">
        <v>1011.0222222222222</v>
      </c>
      <c r="AH3" s="27">
        <v>1366.0722222222221</v>
      </c>
      <c r="AI3" s="27">
        <v>1468.711111111111</v>
      </c>
      <c r="AJ3" s="28">
        <v>208.84444444444443</v>
      </c>
      <c r="AK3" s="28">
        <v>20.805555555555557</v>
      </c>
      <c r="AL3" s="28">
        <v>229.64999999999998</v>
      </c>
      <c r="AM3" s="29">
        <v>102</v>
      </c>
      <c r="AN3" s="35">
        <v>103</v>
      </c>
      <c r="AO3" s="27">
        <v>121</v>
      </c>
      <c r="AP3" s="27">
        <v>107</v>
      </c>
      <c r="AQ3" s="27">
        <v>114</v>
      </c>
      <c r="AR3" s="27">
        <v>115</v>
      </c>
      <c r="AS3" s="27">
        <v>112</v>
      </c>
      <c r="AT3" s="27">
        <v>110</v>
      </c>
      <c r="AU3" s="27">
        <v>127</v>
      </c>
      <c r="AV3" s="27">
        <v>115</v>
      </c>
      <c r="AW3" s="27">
        <v>139</v>
      </c>
      <c r="AX3" s="27">
        <v>97</v>
      </c>
      <c r="AY3" s="27">
        <v>106</v>
      </c>
      <c r="AZ3" s="27">
        <v>672</v>
      </c>
      <c r="BA3" s="27">
        <v>237</v>
      </c>
      <c r="BB3" s="27">
        <v>457</v>
      </c>
      <c r="BC3" s="27">
        <v>1011</v>
      </c>
      <c r="BD3" s="27">
        <v>1366</v>
      </c>
      <c r="BE3" s="27">
        <v>1468</v>
      </c>
      <c r="BF3" s="27">
        <v>100</v>
      </c>
      <c r="BG3" s="27">
        <v>2</v>
      </c>
      <c r="BH3" s="27">
        <v>0</v>
      </c>
      <c r="BI3" s="27">
        <v>738</v>
      </c>
      <c r="BJ3" s="27">
        <v>205</v>
      </c>
      <c r="BK3" s="29">
        <v>16</v>
      </c>
      <c r="BL3" s="29">
        <v>221</v>
      </c>
      <c r="BM3" s="29">
        <v>28</v>
      </c>
      <c r="BN3" s="30">
        <v>8.3648213239601643E-2</v>
      </c>
      <c r="BO3" s="31">
        <v>94.15</v>
      </c>
      <c r="BP3" s="31">
        <v>89.520000000000024</v>
      </c>
      <c r="BQ3" s="31">
        <v>88.52000000000001</v>
      </c>
      <c r="BR3" s="31">
        <v>95.15</v>
      </c>
      <c r="BS3" s="32">
        <v>92</v>
      </c>
      <c r="BT3" s="32">
        <v>66</v>
      </c>
      <c r="BU3" s="33">
        <v>106.805555</v>
      </c>
      <c r="BV3" s="33">
        <v>0.62777700000000003</v>
      </c>
      <c r="BW3" s="33">
        <v>100.538888</v>
      </c>
      <c r="BX3" s="33">
        <v>101.16666666666667</v>
      </c>
      <c r="BY3" s="33">
        <v>101.04444444444445</v>
      </c>
      <c r="BZ3" s="33">
        <v>119.33333333333333</v>
      </c>
      <c r="CA3" s="33">
        <v>106.80555555555556</v>
      </c>
      <c r="CB3" s="33">
        <v>112.35</v>
      </c>
      <c r="CC3" s="33">
        <v>115.41111111111111</v>
      </c>
      <c r="CD3" s="33">
        <v>107.11111111111111</v>
      </c>
      <c r="CE3" s="33">
        <v>107.79444444444445</v>
      </c>
      <c r="CF3" s="33">
        <v>127.25</v>
      </c>
      <c r="CG3" s="33">
        <v>110.36111111111111</v>
      </c>
      <c r="CH3" s="33">
        <v>136.5</v>
      </c>
      <c r="CI3" s="33">
        <v>93.13333333333334</v>
      </c>
      <c r="CJ3" s="33">
        <v>95.266666666666666</v>
      </c>
      <c r="CK3" s="33">
        <v>662.05555555555554</v>
      </c>
      <c r="CL3" s="33">
        <v>235.04444444444445</v>
      </c>
      <c r="CM3" s="33">
        <v>435.26111111111112</v>
      </c>
      <c r="CN3" s="33">
        <v>998.26666666666665</v>
      </c>
      <c r="CO3" s="33">
        <v>1332.3611111111113</v>
      </c>
      <c r="CP3" s="33">
        <v>1433.5277777777778</v>
      </c>
      <c r="CQ3" s="33">
        <v>211.183333333333</v>
      </c>
      <c r="CR3" s="33">
        <v>16.505555555555599</v>
      </c>
      <c r="CS3" s="33">
        <v>227.68888888888858</v>
      </c>
      <c r="CT3" s="33">
        <v>0</v>
      </c>
      <c r="CU3" s="33">
        <v>95</v>
      </c>
      <c r="CV3" s="32">
        <v>1</v>
      </c>
      <c r="CW3" s="32">
        <v>96</v>
      </c>
      <c r="CX3" s="32">
        <v>98</v>
      </c>
      <c r="CY3" s="32">
        <v>106</v>
      </c>
      <c r="CZ3" s="32">
        <v>119</v>
      </c>
      <c r="DA3" s="32">
        <v>113</v>
      </c>
      <c r="DB3" s="32">
        <v>110</v>
      </c>
      <c r="DC3" s="32">
        <v>115</v>
      </c>
      <c r="DD3" s="32">
        <v>111</v>
      </c>
      <c r="DE3" s="32">
        <v>105</v>
      </c>
      <c r="DF3" s="32">
        <v>129</v>
      </c>
      <c r="DG3" s="32">
        <v>108</v>
      </c>
      <c r="DH3" s="32">
        <v>135</v>
      </c>
      <c r="DI3" s="32">
        <v>89</v>
      </c>
      <c r="DJ3" s="32">
        <v>661</v>
      </c>
      <c r="DK3" s="32">
        <v>216</v>
      </c>
      <c r="DL3" s="32">
        <v>461</v>
      </c>
      <c r="DM3" s="32">
        <v>973</v>
      </c>
      <c r="DN3" s="32">
        <v>1338</v>
      </c>
      <c r="DO3" s="32">
        <v>1434</v>
      </c>
      <c r="DP3" s="32">
        <v>0</v>
      </c>
      <c r="DQ3" s="32">
        <v>663</v>
      </c>
      <c r="DR3" s="32">
        <v>207</v>
      </c>
      <c r="DS3" s="32">
        <v>20</v>
      </c>
      <c r="DT3" s="32">
        <v>227</v>
      </c>
      <c r="DU3" s="32">
        <v>23</v>
      </c>
      <c r="DV3" s="33">
        <v>95.4</v>
      </c>
      <c r="DW3" s="33">
        <v>90.780000000000015</v>
      </c>
      <c r="DX3" s="33">
        <v>46.285999999999994</v>
      </c>
      <c r="DY3" s="33">
        <v>33.961000000000006</v>
      </c>
      <c r="DZ3" s="33">
        <v>0</v>
      </c>
      <c r="EA3" s="33">
        <v>98.632999999999981</v>
      </c>
      <c r="EB3" s="34">
        <v>8.4503108757383427E-2</v>
      </c>
      <c r="EC3" s="32"/>
      <c r="ED3" s="32">
        <v>95</v>
      </c>
      <c r="EE3" s="32">
        <v>1325</v>
      </c>
      <c r="EF3" s="32"/>
      <c r="EG3" s="32"/>
      <c r="EH3" s="33"/>
      <c r="EI3" s="32">
        <v>1420</v>
      </c>
      <c r="EJ3" s="32">
        <v>22</v>
      </c>
      <c r="EK3" s="32">
        <v>236</v>
      </c>
      <c r="EL3" s="32">
        <v>258</v>
      </c>
      <c r="EM3" s="32">
        <v>215</v>
      </c>
      <c r="EN3" s="32">
        <v>21</v>
      </c>
      <c r="EO3" s="32">
        <v>34</v>
      </c>
      <c r="EP3" s="33">
        <v>42.12</v>
      </c>
      <c r="EQ3" s="33">
        <v>4.54</v>
      </c>
      <c r="ER3" s="33">
        <v>6.5</v>
      </c>
      <c r="ES3" s="33">
        <v>2</v>
      </c>
      <c r="ET3" s="33">
        <v>24.5</v>
      </c>
      <c r="EU3" s="33">
        <v>79.66</v>
      </c>
    </row>
    <row r="4" spans="1:151" ht="41.4" x14ac:dyDescent="0.3">
      <c r="A4" s="25">
        <v>3</v>
      </c>
      <c r="B4" s="26" t="s">
        <v>263</v>
      </c>
      <c r="C4" s="27" t="s">
        <v>649</v>
      </c>
      <c r="D4" s="27" t="s">
        <v>261</v>
      </c>
      <c r="E4" s="26" t="s">
        <v>504</v>
      </c>
      <c r="F4" s="26" t="s">
        <v>504</v>
      </c>
      <c r="G4" s="28">
        <v>1172.0666666666666</v>
      </c>
      <c r="H4" s="28">
        <v>202.26666666666668</v>
      </c>
      <c r="I4" s="29">
        <v>831</v>
      </c>
      <c r="J4" s="29">
        <v>5633</v>
      </c>
      <c r="K4" s="29">
        <v>1960</v>
      </c>
      <c r="L4" s="29">
        <v>3914</v>
      </c>
      <c r="M4" s="29">
        <v>12338</v>
      </c>
      <c r="N4" s="29">
        <v>11507</v>
      </c>
      <c r="O4" s="29">
        <v>8424</v>
      </c>
      <c r="P4" s="29">
        <v>206</v>
      </c>
      <c r="Q4" s="27">
        <v>820.28888888888889</v>
      </c>
      <c r="R4" s="27">
        <v>926.06666666666672</v>
      </c>
      <c r="S4" s="27">
        <v>966.77777777777783</v>
      </c>
      <c r="T4" s="27">
        <v>892.28888888888889</v>
      </c>
      <c r="U4" s="27">
        <v>919.16111111111115</v>
      </c>
      <c r="V4" s="27">
        <v>879.82777777777778</v>
      </c>
      <c r="W4" s="27">
        <v>929.98333333333335</v>
      </c>
      <c r="X4" s="27">
        <v>933.1</v>
      </c>
      <c r="Y4" s="27">
        <v>982.95</v>
      </c>
      <c r="Z4" s="27">
        <v>972.89444444444439</v>
      </c>
      <c r="AA4" s="27">
        <v>1029.1055555555556</v>
      </c>
      <c r="AB4" s="27">
        <v>949.69444444444446</v>
      </c>
      <c r="AC4" s="27">
        <v>769.27777777777783</v>
      </c>
      <c r="AD4" s="27">
        <v>5514.1055555555558</v>
      </c>
      <c r="AE4" s="27">
        <v>1916.0500000000002</v>
      </c>
      <c r="AF4" s="27">
        <v>3720.9722222222222</v>
      </c>
      <c r="AG4" s="27">
        <v>8250.4444444444453</v>
      </c>
      <c r="AH4" s="27">
        <v>11151.12777777778</v>
      </c>
      <c r="AI4" s="27">
        <v>11971.416666666668</v>
      </c>
      <c r="AJ4" s="28">
        <v>1197.4888888888888</v>
      </c>
      <c r="AK4" s="28">
        <v>204.15555555555557</v>
      </c>
      <c r="AL4" s="28">
        <v>1401.6444444444444</v>
      </c>
      <c r="AM4" s="29">
        <v>821</v>
      </c>
      <c r="AN4" s="35">
        <v>847</v>
      </c>
      <c r="AO4" s="27">
        <v>937</v>
      </c>
      <c r="AP4" s="27">
        <v>985</v>
      </c>
      <c r="AQ4" s="27">
        <v>912</v>
      </c>
      <c r="AR4" s="27">
        <v>938</v>
      </c>
      <c r="AS4" s="27">
        <v>911</v>
      </c>
      <c r="AT4" s="27">
        <v>943</v>
      </c>
      <c r="AU4" s="27">
        <v>971</v>
      </c>
      <c r="AV4" s="27">
        <v>1041</v>
      </c>
      <c r="AW4" s="27">
        <v>1000</v>
      </c>
      <c r="AX4" s="27">
        <v>1003</v>
      </c>
      <c r="AY4" s="27">
        <v>959</v>
      </c>
      <c r="AZ4" s="27">
        <v>5530</v>
      </c>
      <c r="BA4" s="27">
        <v>1914</v>
      </c>
      <c r="BB4" s="27">
        <v>4003</v>
      </c>
      <c r="BC4" s="27">
        <v>8265</v>
      </c>
      <c r="BD4" s="27">
        <v>11447</v>
      </c>
      <c r="BE4" s="27">
        <v>12268</v>
      </c>
      <c r="BF4" s="27">
        <v>813</v>
      </c>
      <c r="BG4" s="27">
        <v>8</v>
      </c>
      <c r="BH4" s="27">
        <v>6</v>
      </c>
      <c r="BI4" s="27">
        <v>4025</v>
      </c>
      <c r="BJ4" s="27">
        <v>1265</v>
      </c>
      <c r="BK4" s="29">
        <v>224</v>
      </c>
      <c r="BL4" s="29">
        <v>1489</v>
      </c>
      <c r="BM4" s="29">
        <v>441</v>
      </c>
      <c r="BN4" s="30">
        <v>8.3906684417191402E-2</v>
      </c>
      <c r="BO4" s="31">
        <v>687.82000000000028</v>
      </c>
      <c r="BP4" s="31">
        <v>657.85000000000014</v>
      </c>
      <c r="BQ4" s="31">
        <v>623.95000000000005</v>
      </c>
      <c r="BR4" s="31">
        <v>704.72</v>
      </c>
      <c r="BS4" s="32">
        <v>0</v>
      </c>
      <c r="BT4" s="32">
        <v>0</v>
      </c>
      <c r="BU4" s="33">
        <v>0</v>
      </c>
      <c r="BV4" s="33">
        <v>21.522221999999999</v>
      </c>
      <c r="BW4" s="33">
        <v>791.4</v>
      </c>
      <c r="BX4" s="33">
        <v>812.92222222222222</v>
      </c>
      <c r="BY4" s="33">
        <v>826.92222222222222</v>
      </c>
      <c r="BZ4" s="33">
        <v>916.30555555555554</v>
      </c>
      <c r="CA4" s="33">
        <v>962.38888888888891</v>
      </c>
      <c r="CB4" s="33">
        <v>905.43888888888887</v>
      </c>
      <c r="CC4" s="33">
        <v>923.65</v>
      </c>
      <c r="CD4" s="33">
        <v>889.66666666666663</v>
      </c>
      <c r="CE4" s="33">
        <v>918.56666666666672</v>
      </c>
      <c r="CF4" s="33">
        <v>938.22222222222217</v>
      </c>
      <c r="CG4" s="33">
        <v>1010.3166666666667</v>
      </c>
      <c r="CH4" s="33">
        <v>963.15555555555557</v>
      </c>
      <c r="CI4" s="33">
        <v>966.97777777777776</v>
      </c>
      <c r="CJ4" s="33">
        <v>836.31666666666672</v>
      </c>
      <c r="CK4" s="33">
        <v>5424.3722222222223</v>
      </c>
      <c r="CL4" s="33">
        <v>1856.7888888888888</v>
      </c>
      <c r="CM4" s="33">
        <v>3776.7666666666664</v>
      </c>
      <c r="CN4" s="33">
        <v>8094.0833333333339</v>
      </c>
      <c r="CO4" s="33">
        <v>11057.927777777779</v>
      </c>
      <c r="CP4" s="33">
        <v>11870.850000000002</v>
      </c>
      <c r="CQ4" s="33">
        <v>1279.07222222222</v>
      </c>
      <c r="CR4" s="33">
        <v>224.73333333333301</v>
      </c>
      <c r="CS4" s="33">
        <v>1503.8055555555529</v>
      </c>
      <c r="CT4" s="33">
        <v>0</v>
      </c>
      <c r="CU4" s="33">
        <v>836</v>
      </c>
      <c r="CV4" s="32">
        <v>46</v>
      </c>
      <c r="CW4" s="32">
        <v>882</v>
      </c>
      <c r="CX4" s="32">
        <v>822</v>
      </c>
      <c r="CY4" s="32">
        <v>850</v>
      </c>
      <c r="CZ4" s="32">
        <v>931</v>
      </c>
      <c r="DA4" s="32">
        <v>980</v>
      </c>
      <c r="DB4" s="32">
        <v>911</v>
      </c>
      <c r="DC4" s="32">
        <v>960</v>
      </c>
      <c r="DD4" s="32">
        <v>919</v>
      </c>
      <c r="DE4" s="32">
        <v>972</v>
      </c>
      <c r="DF4" s="32">
        <v>1014</v>
      </c>
      <c r="DG4" s="32">
        <v>1038</v>
      </c>
      <c r="DH4" s="32">
        <v>982</v>
      </c>
      <c r="DI4" s="32">
        <v>983</v>
      </c>
      <c r="DJ4" s="32">
        <v>5454</v>
      </c>
      <c r="DK4" s="32">
        <v>1891</v>
      </c>
      <c r="DL4" s="32">
        <v>4017</v>
      </c>
      <c r="DM4" s="32">
        <v>8227</v>
      </c>
      <c r="DN4" s="32">
        <v>11362</v>
      </c>
      <c r="DO4" s="32">
        <v>12244</v>
      </c>
      <c r="DP4" s="32">
        <v>9</v>
      </c>
      <c r="DQ4" s="32">
        <v>3924</v>
      </c>
      <c r="DR4" s="32">
        <v>1388</v>
      </c>
      <c r="DS4" s="32">
        <v>227</v>
      </c>
      <c r="DT4" s="32">
        <v>1615</v>
      </c>
      <c r="DU4" s="32">
        <v>441</v>
      </c>
      <c r="DV4" s="33">
        <v>711.63000000000022</v>
      </c>
      <c r="DW4" s="33">
        <v>681.63000000000011</v>
      </c>
      <c r="DX4" s="33">
        <v>311.63200000000001</v>
      </c>
      <c r="DY4" s="33">
        <v>268.22799999999995</v>
      </c>
      <c r="DZ4" s="33">
        <v>0</v>
      </c>
      <c r="EA4" s="33">
        <v>735.5100000000001</v>
      </c>
      <c r="EB4" s="34">
        <v>8.3551313287509366E-2</v>
      </c>
      <c r="EC4" s="32"/>
      <c r="ED4" s="32">
        <v>886</v>
      </c>
      <c r="EE4" s="32">
        <v>11414</v>
      </c>
      <c r="EF4" s="32"/>
      <c r="EG4" s="32"/>
      <c r="EH4" s="33"/>
      <c r="EI4" s="32">
        <v>12300</v>
      </c>
      <c r="EJ4" s="32">
        <v>231</v>
      </c>
      <c r="EK4" s="32">
        <v>1590</v>
      </c>
      <c r="EL4" s="32">
        <v>1821</v>
      </c>
      <c r="EM4" s="32">
        <v>1358</v>
      </c>
      <c r="EN4" s="32">
        <v>232</v>
      </c>
      <c r="EO4" s="32">
        <v>40</v>
      </c>
      <c r="EP4" s="33">
        <v>310.923</v>
      </c>
      <c r="EQ4" s="33">
        <v>9.1750000000000007</v>
      </c>
      <c r="ER4" s="33">
        <v>44.866</v>
      </c>
      <c r="ES4" s="33">
        <v>5.875</v>
      </c>
      <c r="ET4" s="33">
        <v>242.107</v>
      </c>
      <c r="EU4" s="33">
        <v>612.94600000000003</v>
      </c>
    </row>
    <row r="5" spans="1:151" ht="41.4" x14ac:dyDescent="0.3">
      <c r="A5" s="25">
        <v>4</v>
      </c>
      <c r="B5" s="26" t="s">
        <v>264</v>
      </c>
      <c r="C5" s="27" t="s">
        <v>650</v>
      </c>
      <c r="D5" s="27" t="s">
        <v>261</v>
      </c>
      <c r="E5" s="26" t="s">
        <v>504</v>
      </c>
      <c r="F5" s="26" t="s">
        <v>504</v>
      </c>
      <c r="G5" s="28">
        <v>1942.4444444444443</v>
      </c>
      <c r="H5" s="28">
        <v>316.53333333333336</v>
      </c>
      <c r="I5" s="29">
        <v>1308</v>
      </c>
      <c r="J5" s="29">
        <v>8695</v>
      </c>
      <c r="K5" s="29">
        <v>3029</v>
      </c>
      <c r="L5" s="29">
        <v>6699</v>
      </c>
      <c r="M5" s="29">
        <v>19731</v>
      </c>
      <c r="N5" s="29">
        <v>18423</v>
      </c>
      <c r="O5" s="29">
        <v>13032</v>
      </c>
      <c r="P5" s="29">
        <v>347</v>
      </c>
      <c r="Q5" s="27">
        <v>1265.2666666666667</v>
      </c>
      <c r="R5" s="27">
        <v>1389.1111111111111</v>
      </c>
      <c r="S5" s="27">
        <v>1360.4777777777779</v>
      </c>
      <c r="T5" s="27">
        <v>1390.9944444444445</v>
      </c>
      <c r="U5" s="27">
        <v>1428.8277777777778</v>
      </c>
      <c r="V5" s="27">
        <v>1451.7277777777779</v>
      </c>
      <c r="W5" s="27">
        <v>1518.1111111111111</v>
      </c>
      <c r="X5" s="27">
        <v>1474.7444444444445</v>
      </c>
      <c r="Y5" s="27">
        <v>1515.2666666666667</v>
      </c>
      <c r="Z5" s="27">
        <v>1684.7333333333333</v>
      </c>
      <c r="AA5" s="27">
        <v>1700.6055555555556</v>
      </c>
      <c r="AB5" s="27">
        <v>1626.4888888888888</v>
      </c>
      <c r="AC5" s="27">
        <v>1489.3222222222223</v>
      </c>
      <c r="AD5" s="27">
        <v>8539.25</v>
      </c>
      <c r="AE5" s="27">
        <v>2990.0111111111109</v>
      </c>
      <c r="AF5" s="27">
        <v>6501.15</v>
      </c>
      <c r="AG5" s="27">
        <v>12794.527777777777</v>
      </c>
      <c r="AH5" s="27">
        <v>18030.411111111109</v>
      </c>
      <c r="AI5" s="27">
        <v>19295.677777777775</v>
      </c>
      <c r="AJ5" s="28">
        <v>1883.4</v>
      </c>
      <c r="AK5" s="28">
        <v>342.18333333333334</v>
      </c>
      <c r="AL5" s="28">
        <v>2225.5833333333335</v>
      </c>
      <c r="AM5" s="29">
        <v>1275</v>
      </c>
      <c r="AN5" s="35">
        <v>1343</v>
      </c>
      <c r="AO5" s="27">
        <v>1426</v>
      </c>
      <c r="AP5" s="27">
        <v>1421</v>
      </c>
      <c r="AQ5" s="27">
        <v>1449</v>
      </c>
      <c r="AR5" s="27">
        <v>1479</v>
      </c>
      <c r="AS5" s="27">
        <v>1518</v>
      </c>
      <c r="AT5" s="27">
        <v>1603</v>
      </c>
      <c r="AU5" s="27">
        <v>1493</v>
      </c>
      <c r="AV5" s="27">
        <v>1720</v>
      </c>
      <c r="AW5" s="27">
        <v>1695</v>
      </c>
      <c r="AX5" s="27">
        <v>1711</v>
      </c>
      <c r="AY5" s="27">
        <v>1661</v>
      </c>
      <c r="AZ5" s="27">
        <v>8636</v>
      </c>
      <c r="BA5" s="27">
        <v>3096</v>
      </c>
      <c r="BB5" s="27">
        <v>6787</v>
      </c>
      <c r="BC5" s="27">
        <v>13007</v>
      </c>
      <c r="BD5" s="27">
        <v>18519</v>
      </c>
      <c r="BE5" s="27">
        <v>19794</v>
      </c>
      <c r="BF5" s="27">
        <v>613</v>
      </c>
      <c r="BG5" s="27">
        <v>662</v>
      </c>
      <c r="BH5" s="27">
        <v>21</v>
      </c>
      <c r="BI5" s="27">
        <v>5235</v>
      </c>
      <c r="BJ5" s="27">
        <v>1999</v>
      </c>
      <c r="BK5" s="29">
        <v>324</v>
      </c>
      <c r="BL5" s="29">
        <v>2323</v>
      </c>
      <c r="BM5" s="29">
        <v>697</v>
      </c>
      <c r="BN5" s="30">
        <v>8.8204921894990851E-2</v>
      </c>
      <c r="BO5" s="31">
        <v>1047.8430000000001</v>
      </c>
      <c r="BP5" s="31">
        <v>1011.8430000000001</v>
      </c>
      <c r="BQ5" s="31">
        <v>938.45597999999995</v>
      </c>
      <c r="BR5" s="31">
        <v>1033.6239800000003</v>
      </c>
      <c r="BS5" s="32">
        <v>0</v>
      </c>
      <c r="BT5" s="32">
        <v>0</v>
      </c>
      <c r="BU5" s="33">
        <v>0</v>
      </c>
      <c r="BV5" s="33">
        <v>651.46666600000003</v>
      </c>
      <c r="BW5" s="33">
        <v>599.53333299999997</v>
      </c>
      <c r="BX5" s="33">
        <v>1251</v>
      </c>
      <c r="BY5" s="33">
        <v>1306.8722222222223</v>
      </c>
      <c r="BZ5" s="33">
        <v>1393.4666666666667</v>
      </c>
      <c r="CA5" s="33">
        <v>1409.0555555555557</v>
      </c>
      <c r="CB5" s="33">
        <v>1419.0277777777778</v>
      </c>
      <c r="CC5" s="33">
        <v>1452.338888888889</v>
      </c>
      <c r="CD5" s="33">
        <v>1502.0222222222221</v>
      </c>
      <c r="CE5" s="33">
        <v>1571.6277777777777</v>
      </c>
      <c r="CF5" s="33">
        <v>1481.0222222222221</v>
      </c>
      <c r="CG5" s="33">
        <v>1696.338888888889</v>
      </c>
      <c r="CH5" s="33">
        <v>1664.5055555555555</v>
      </c>
      <c r="CI5" s="33">
        <v>1673.9222222222222</v>
      </c>
      <c r="CJ5" s="33">
        <v>1557.7944444444445</v>
      </c>
      <c r="CK5" s="33">
        <v>8482.7833333333328</v>
      </c>
      <c r="CL5" s="33">
        <v>3052.6499999999996</v>
      </c>
      <c r="CM5" s="33">
        <v>6592.5611111111111</v>
      </c>
      <c r="CN5" s="33">
        <v>12786.433333333332</v>
      </c>
      <c r="CO5" s="33">
        <v>18127.994444444445</v>
      </c>
      <c r="CP5" s="33">
        <v>19378.994444444445</v>
      </c>
      <c r="CQ5" s="33">
        <v>1931.2833333333299</v>
      </c>
      <c r="CR5" s="33">
        <v>321.566666666667</v>
      </c>
      <c r="CS5" s="33">
        <v>2252.8499999999967</v>
      </c>
      <c r="CT5" s="33">
        <v>0</v>
      </c>
      <c r="CU5" s="33">
        <v>1018</v>
      </c>
      <c r="CV5" s="32">
        <v>200</v>
      </c>
      <c r="CW5" s="32">
        <v>1218</v>
      </c>
      <c r="CX5" s="32">
        <v>1316</v>
      </c>
      <c r="CY5" s="32">
        <v>1358</v>
      </c>
      <c r="CZ5" s="32">
        <v>1456</v>
      </c>
      <c r="DA5" s="32">
        <v>1458</v>
      </c>
      <c r="DB5" s="32">
        <v>1483</v>
      </c>
      <c r="DC5" s="32">
        <v>1502</v>
      </c>
      <c r="DD5" s="32">
        <v>1590</v>
      </c>
      <c r="DE5" s="32">
        <v>1623</v>
      </c>
      <c r="DF5" s="32">
        <v>1716</v>
      </c>
      <c r="DG5" s="32">
        <v>1740</v>
      </c>
      <c r="DH5" s="32">
        <v>1676</v>
      </c>
      <c r="DI5" s="32">
        <v>1711</v>
      </c>
      <c r="DJ5" s="32">
        <v>8573</v>
      </c>
      <c r="DK5" s="32">
        <v>3213</v>
      </c>
      <c r="DL5" s="32">
        <v>6843</v>
      </c>
      <c r="DM5" s="32">
        <v>13004</v>
      </c>
      <c r="DN5" s="32">
        <v>18629</v>
      </c>
      <c r="DO5" s="32">
        <v>19847</v>
      </c>
      <c r="DP5" s="32">
        <v>24</v>
      </c>
      <c r="DQ5" s="32">
        <v>5515</v>
      </c>
      <c r="DR5" s="32">
        <v>1968</v>
      </c>
      <c r="DS5" s="32">
        <v>337</v>
      </c>
      <c r="DT5" s="32">
        <v>2305</v>
      </c>
      <c r="DU5" s="32">
        <v>735</v>
      </c>
      <c r="DV5" s="33">
        <v>1062.3750000000002</v>
      </c>
      <c r="DW5" s="33">
        <v>1026.375</v>
      </c>
      <c r="DX5" s="33">
        <v>454.33700000000005</v>
      </c>
      <c r="DY5" s="33">
        <v>413.82900000000012</v>
      </c>
      <c r="DZ5" s="33">
        <v>2.9569999999999999</v>
      </c>
      <c r="EA5" s="33">
        <v>1074.5799999999997</v>
      </c>
      <c r="EB5" s="34">
        <v>8.9839445197695378E-2</v>
      </c>
      <c r="EC5" s="32"/>
      <c r="ED5" s="32">
        <v>1215</v>
      </c>
      <c r="EE5" s="32">
        <v>18584</v>
      </c>
      <c r="EF5" s="32"/>
      <c r="EG5" s="32"/>
      <c r="EH5" s="33"/>
      <c r="EI5" s="32">
        <v>19799</v>
      </c>
      <c r="EJ5" s="32">
        <v>357</v>
      </c>
      <c r="EK5" s="32">
        <v>2250</v>
      </c>
      <c r="EL5" s="32">
        <v>2607</v>
      </c>
      <c r="EM5" s="32">
        <v>1911</v>
      </c>
      <c r="EN5" s="32">
        <v>339</v>
      </c>
      <c r="EO5" s="32">
        <v>226</v>
      </c>
      <c r="EP5" s="33">
        <v>890</v>
      </c>
      <c r="EQ5" s="33">
        <v>15</v>
      </c>
      <c r="ER5" s="33">
        <v>59</v>
      </c>
      <c r="ES5" s="33">
        <v>12</v>
      </c>
      <c r="ET5" s="33">
        <v>330</v>
      </c>
      <c r="EU5" s="33">
        <v>1306</v>
      </c>
    </row>
    <row r="6" spans="1:151" ht="41.4" x14ac:dyDescent="0.3">
      <c r="A6" s="25">
        <v>5</v>
      </c>
      <c r="B6" s="26" t="s">
        <v>265</v>
      </c>
      <c r="C6" s="27" t="s">
        <v>651</v>
      </c>
      <c r="D6" s="27" t="s">
        <v>261</v>
      </c>
      <c r="E6" s="26" t="s">
        <v>504</v>
      </c>
      <c r="F6" s="26" t="s">
        <v>504</v>
      </c>
      <c r="G6" s="28">
        <v>438.9111111111111</v>
      </c>
      <c r="H6" s="28">
        <v>67.177777777777777</v>
      </c>
      <c r="I6" s="29">
        <v>213</v>
      </c>
      <c r="J6" s="29">
        <v>1521</v>
      </c>
      <c r="K6" s="29">
        <v>548</v>
      </c>
      <c r="L6" s="29">
        <v>1052</v>
      </c>
      <c r="M6" s="29">
        <v>3334</v>
      </c>
      <c r="N6" s="29">
        <v>3121</v>
      </c>
      <c r="O6" s="29">
        <v>2282</v>
      </c>
      <c r="P6" s="29">
        <v>56</v>
      </c>
      <c r="Q6" s="27">
        <v>206.18333333333334</v>
      </c>
      <c r="R6" s="27">
        <v>247.5888888888889</v>
      </c>
      <c r="S6" s="27">
        <v>230.10555555555555</v>
      </c>
      <c r="T6" s="27">
        <v>213.96666666666667</v>
      </c>
      <c r="U6" s="27">
        <v>287.01111111111112</v>
      </c>
      <c r="V6" s="27">
        <v>253.4</v>
      </c>
      <c r="W6" s="27">
        <v>260.86111111111109</v>
      </c>
      <c r="X6" s="27">
        <v>263.42777777777781</v>
      </c>
      <c r="Y6" s="27">
        <v>274.10000000000002</v>
      </c>
      <c r="Z6" s="27">
        <v>263.95</v>
      </c>
      <c r="AA6" s="27">
        <v>284.13333333333333</v>
      </c>
      <c r="AB6" s="27">
        <v>236.12777777777777</v>
      </c>
      <c r="AC6" s="27">
        <v>223.07777777777778</v>
      </c>
      <c r="AD6" s="27">
        <v>1492.9333333333334</v>
      </c>
      <c r="AE6" s="27">
        <v>537.52777777777783</v>
      </c>
      <c r="AF6" s="27">
        <v>1007.2888888888888</v>
      </c>
      <c r="AG6" s="27">
        <v>2236.6444444444446</v>
      </c>
      <c r="AH6" s="27">
        <v>3037.75</v>
      </c>
      <c r="AI6" s="27">
        <v>3243.9333333333334</v>
      </c>
      <c r="AJ6" s="28">
        <v>477.15555555555557</v>
      </c>
      <c r="AK6" s="28">
        <v>50.672222222222224</v>
      </c>
      <c r="AL6" s="28">
        <v>527.82777777777778</v>
      </c>
      <c r="AM6" s="29">
        <v>201</v>
      </c>
      <c r="AN6" s="35">
        <v>200</v>
      </c>
      <c r="AO6" s="27">
        <v>244</v>
      </c>
      <c r="AP6" s="27">
        <v>226</v>
      </c>
      <c r="AQ6" s="27">
        <v>219</v>
      </c>
      <c r="AR6" s="27">
        <v>287</v>
      </c>
      <c r="AS6" s="27">
        <v>253</v>
      </c>
      <c r="AT6" s="27">
        <v>265</v>
      </c>
      <c r="AU6" s="27">
        <v>252</v>
      </c>
      <c r="AV6" s="27">
        <v>273</v>
      </c>
      <c r="AW6" s="27">
        <v>263</v>
      </c>
      <c r="AX6" s="27">
        <v>267</v>
      </c>
      <c r="AY6" s="27">
        <v>228</v>
      </c>
      <c r="AZ6" s="27">
        <v>1429</v>
      </c>
      <c r="BA6" s="27">
        <v>517</v>
      </c>
      <c r="BB6" s="27">
        <v>1031</v>
      </c>
      <c r="BC6" s="27">
        <v>2147</v>
      </c>
      <c r="BD6" s="27">
        <v>2977</v>
      </c>
      <c r="BE6" s="27">
        <v>3178</v>
      </c>
      <c r="BF6" s="27">
        <v>201</v>
      </c>
      <c r="BG6" s="27">
        <v>0</v>
      </c>
      <c r="BH6" s="27">
        <v>5</v>
      </c>
      <c r="BI6" s="27">
        <v>1449</v>
      </c>
      <c r="BJ6" s="27">
        <v>454</v>
      </c>
      <c r="BK6" s="29">
        <v>39</v>
      </c>
      <c r="BL6" s="29">
        <v>493</v>
      </c>
      <c r="BM6" s="29">
        <v>78</v>
      </c>
      <c r="BN6" s="30">
        <v>8.395246761588665E-2</v>
      </c>
      <c r="BO6" s="31">
        <v>217.95000000000005</v>
      </c>
      <c r="BP6" s="31">
        <v>205.95000000000005</v>
      </c>
      <c r="BQ6" s="31">
        <v>196.75</v>
      </c>
      <c r="BR6" s="31">
        <v>220.95</v>
      </c>
      <c r="BS6" s="32">
        <v>0</v>
      </c>
      <c r="BT6" s="32">
        <v>0</v>
      </c>
      <c r="BU6" s="33">
        <v>0</v>
      </c>
      <c r="BV6" s="33">
        <v>0</v>
      </c>
      <c r="BW6" s="33">
        <v>197.738888</v>
      </c>
      <c r="BX6" s="33">
        <v>197.73888888888888</v>
      </c>
      <c r="BY6" s="33">
        <v>201.18333333333334</v>
      </c>
      <c r="BZ6" s="33">
        <v>241.00555555555556</v>
      </c>
      <c r="CA6" s="33">
        <v>222.83333333333334</v>
      </c>
      <c r="CB6" s="33">
        <v>219.38333333333333</v>
      </c>
      <c r="CC6" s="33">
        <v>283.72777777777776</v>
      </c>
      <c r="CD6" s="33">
        <v>257.2</v>
      </c>
      <c r="CE6" s="33">
        <v>267.42777777777781</v>
      </c>
      <c r="CF6" s="33">
        <v>256.01666666666665</v>
      </c>
      <c r="CG6" s="33">
        <v>271.58333333333331</v>
      </c>
      <c r="CH6" s="33">
        <v>249.87222222222223</v>
      </c>
      <c r="CI6" s="33">
        <v>256.48333333333335</v>
      </c>
      <c r="CJ6" s="33">
        <v>212.13333333333333</v>
      </c>
      <c r="CK6" s="33">
        <v>1425.3333333333333</v>
      </c>
      <c r="CL6" s="33">
        <v>523.44444444444446</v>
      </c>
      <c r="CM6" s="33">
        <v>990.07222222222219</v>
      </c>
      <c r="CN6" s="33">
        <v>2146.5166666666664</v>
      </c>
      <c r="CO6" s="33">
        <v>2938.8499999999995</v>
      </c>
      <c r="CP6" s="33">
        <v>3136.5888888888885</v>
      </c>
      <c r="CQ6" s="33">
        <v>482.05</v>
      </c>
      <c r="CR6" s="33">
        <v>43.4166666666667</v>
      </c>
      <c r="CS6" s="33">
        <v>525.4666666666667</v>
      </c>
      <c r="CT6" s="33">
        <v>0</v>
      </c>
      <c r="CU6" s="33">
        <v>239</v>
      </c>
      <c r="CV6" s="32">
        <v>0</v>
      </c>
      <c r="CW6" s="32">
        <v>239</v>
      </c>
      <c r="CX6" s="32">
        <v>198</v>
      </c>
      <c r="CY6" s="32">
        <v>197</v>
      </c>
      <c r="CZ6" s="32">
        <v>251</v>
      </c>
      <c r="DA6" s="32">
        <v>230</v>
      </c>
      <c r="DB6" s="32">
        <v>229</v>
      </c>
      <c r="DC6" s="32">
        <v>294</v>
      </c>
      <c r="DD6" s="32">
        <v>266</v>
      </c>
      <c r="DE6" s="32">
        <v>261</v>
      </c>
      <c r="DF6" s="32">
        <v>246</v>
      </c>
      <c r="DG6" s="32">
        <v>277</v>
      </c>
      <c r="DH6" s="32">
        <v>248</v>
      </c>
      <c r="DI6" s="32">
        <v>250</v>
      </c>
      <c r="DJ6" s="32">
        <v>1399</v>
      </c>
      <c r="DK6" s="32">
        <v>527</v>
      </c>
      <c r="DL6" s="32">
        <v>1021</v>
      </c>
      <c r="DM6" s="32">
        <v>2165</v>
      </c>
      <c r="DN6" s="32">
        <v>2947</v>
      </c>
      <c r="DO6" s="32">
        <v>3186</v>
      </c>
      <c r="DP6" s="32">
        <v>6</v>
      </c>
      <c r="DQ6" s="32">
        <v>1536</v>
      </c>
      <c r="DR6" s="32">
        <v>480</v>
      </c>
      <c r="DS6" s="32">
        <v>39</v>
      </c>
      <c r="DT6" s="32">
        <v>519</v>
      </c>
      <c r="DU6" s="32">
        <v>84</v>
      </c>
      <c r="DV6" s="33">
        <v>219</v>
      </c>
      <c r="DW6" s="33">
        <v>207</v>
      </c>
      <c r="DX6" s="33">
        <v>88.600000000000009</v>
      </c>
      <c r="DY6" s="33">
        <v>84.289999999999978</v>
      </c>
      <c r="DZ6" s="33">
        <v>0.5</v>
      </c>
      <c r="EA6" s="33">
        <v>220</v>
      </c>
      <c r="EB6" s="34">
        <v>8.3312661367893448E-2</v>
      </c>
      <c r="EC6" s="32"/>
      <c r="ED6" s="32">
        <v>235</v>
      </c>
      <c r="EE6" s="32">
        <v>2897</v>
      </c>
      <c r="EF6" s="32"/>
      <c r="EG6" s="32"/>
      <c r="EH6" s="33"/>
      <c r="EI6" s="32">
        <v>3132</v>
      </c>
      <c r="EJ6" s="32">
        <v>77</v>
      </c>
      <c r="EK6" s="32">
        <v>512</v>
      </c>
      <c r="EL6" s="32">
        <v>590</v>
      </c>
      <c r="EM6" s="32">
        <v>476</v>
      </c>
      <c r="EN6" s="32">
        <v>36</v>
      </c>
      <c r="EO6" s="32">
        <v>48</v>
      </c>
      <c r="EP6" s="33">
        <v>120.1</v>
      </c>
      <c r="EQ6" s="33">
        <v>4.8</v>
      </c>
      <c r="ER6" s="33">
        <v>19.73</v>
      </c>
      <c r="ES6" s="33">
        <v>15.5</v>
      </c>
      <c r="ET6" s="33">
        <v>89.32</v>
      </c>
      <c r="EU6" s="33">
        <v>249.45</v>
      </c>
    </row>
    <row r="7" spans="1:151" ht="41.4" x14ac:dyDescent="0.3">
      <c r="A7" s="25">
        <v>6</v>
      </c>
      <c r="B7" s="26" t="s">
        <v>266</v>
      </c>
      <c r="C7" s="27" t="s">
        <v>652</v>
      </c>
      <c r="D7" s="27" t="s">
        <v>261</v>
      </c>
      <c r="E7" s="26" t="s">
        <v>504</v>
      </c>
      <c r="F7" s="26" t="s">
        <v>504</v>
      </c>
      <c r="G7" s="28">
        <v>27.161111111111111</v>
      </c>
      <c r="H7" s="28">
        <v>3.5666666666666669</v>
      </c>
      <c r="I7" s="29">
        <v>9</v>
      </c>
      <c r="J7" s="29">
        <v>78</v>
      </c>
      <c r="K7" s="29">
        <v>24</v>
      </c>
      <c r="L7" s="29">
        <v>66</v>
      </c>
      <c r="M7" s="29">
        <v>177</v>
      </c>
      <c r="N7" s="29">
        <v>168</v>
      </c>
      <c r="O7" s="29">
        <v>111</v>
      </c>
      <c r="P7" s="29">
        <v>2</v>
      </c>
      <c r="Q7" s="27">
        <v>8.6111111111111107</v>
      </c>
      <c r="R7" s="27">
        <v>13</v>
      </c>
      <c r="S7" s="27">
        <v>12.777777777777779</v>
      </c>
      <c r="T7" s="27">
        <v>9.15</v>
      </c>
      <c r="U7" s="27">
        <v>13.372222222222222</v>
      </c>
      <c r="V7" s="27">
        <v>11.28888888888889</v>
      </c>
      <c r="W7" s="27">
        <v>15.772222222222222</v>
      </c>
      <c r="X7" s="27">
        <v>11.1</v>
      </c>
      <c r="Y7" s="27">
        <v>13</v>
      </c>
      <c r="Z7" s="27">
        <v>16.377777777777776</v>
      </c>
      <c r="AA7" s="27">
        <v>16.627777777777776</v>
      </c>
      <c r="AB7" s="27">
        <v>15.388888888888889</v>
      </c>
      <c r="AC7" s="27">
        <v>16.483333333333334</v>
      </c>
      <c r="AD7" s="27">
        <v>75.361111111111114</v>
      </c>
      <c r="AE7" s="27">
        <v>24.1</v>
      </c>
      <c r="AF7" s="27">
        <v>64.87777777777778</v>
      </c>
      <c r="AG7" s="27">
        <v>108.07222222222221</v>
      </c>
      <c r="AH7" s="27">
        <v>164.3388888888889</v>
      </c>
      <c r="AI7" s="27">
        <v>172.95</v>
      </c>
      <c r="AJ7" s="28">
        <v>19.805555555555557</v>
      </c>
      <c r="AK7" s="28">
        <v>1.4444444444444444</v>
      </c>
      <c r="AL7" s="28">
        <v>21.25</v>
      </c>
      <c r="AM7" s="29">
        <v>11</v>
      </c>
      <c r="AN7" s="35">
        <v>8</v>
      </c>
      <c r="AO7" s="27">
        <v>14</v>
      </c>
      <c r="AP7" s="27">
        <v>14</v>
      </c>
      <c r="AQ7" s="27">
        <v>10</v>
      </c>
      <c r="AR7" s="27">
        <v>15</v>
      </c>
      <c r="AS7" s="27">
        <v>11</v>
      </c>
      <c r="AT7" s="27">
        <v>19</v>
      </c>
      <c r="AU7" s="27">
        <v>11</v>
      </c>
      <c r="AV7" s="27">
        <v>13</v>
      </c>
      <c r="AW7" s="27">
        <v>17</v>
      </c>
      <c r="AX7" s="27">
        <v>16</v>
      </c>
      <c r="AY7" s="27">
        <v>18</v>
      </c>
      <c r="AZ7" s="27">
        <v>72</v>
      </c>
      <c r="BA7" s="27">
        <v>30</v>
      </c>
      <c r="BB7" s="27">
        <v>64</v>
      </c>
      <c r="BC7" s="27">
        <v>113</v>
      </c>
      <c r="BD7" s="27">
        <v>166</v>
      </c>
      <c r="BE7" s="27">
        <v>177</v>
      </c>
      <c r="BF7" s="27">
        <v>11</v>
      </c>
      <c r="BG7" s="27">
        <v>0</v>
      </c>
      <c r="BH7" s="27">
        <v>0</v>
      </c>
      <c r="BI7" s="27">
        <v>40</v>
      </c>
      <c r="BJ7" s="27">
        <v>19</v>
      </c>
      <c r="BK7" s="29">
        <v>0</v>
      </c>
      <c r="BL7" s="29">
        <v>19</v>
      </c>
      <c r="BM7" s="29">
        <v>0</v>
      </c>
      <c r="BN7" s="30">
        <v>6.8478260869565211E-2</v>
      </c>
      <c r="BO7" s="31">
        <v>22.007999999999999</v>
      </c>
      <c r="BP7" s="31">
        <v>21.457999999999995</v>
      </c>
      <c r="BQ7" s="31">
        <v>21.457999999999995</v>
      </c>
      <c r="BR7" s="31">
        <v>22.007999999999999</v>
      </c>
      <c r="BS7" s="32">
        <v>0</v>
      </c>
      <c r="BT7" s="32">
        <v>0</v>
      </c>
      <c r="BU7" s="33">
        <v>0</v>
      </c>
      <c r="BV7" s="33">
        <v>0</v>
      </c>
      <c r="BW7" s="33">
        <v>10.9</v>
      </c>
      <c r="BX7" s="33">
        <v>10.9</v>
      </c>
      <c r="BY7" s="33">
        <v>8.094444444444445</v>
      </c>
      <c r="BZ7" s="33">
        <v>13.066666666666666</v>
      </c>
      <c r="CA7" s="33">
        <v>14</v>
      </c>
      <c r="CB7" s="33">
        <v>9.9</v>
      </c>
      <c r="CC7" s="33">
        <v>15.255555555555556</v>
      </c>
      <c r="CD7" s="33">
        <v>11.972222222222221</v>
      </c>
      <c r="CE7" s="33">
        <v>18.533333333333335</v>
      </c>
      <c r="CF7" s="33">
        <v>11</v>
      </c>
      <c r="CG7" s="33">
        <v>12.75</v>
      </c>
      <c r="CH7" s="33">
        <v>17</v>
      </c>
      <c r="CI7" s="33">
        <v>15.744444444444444</v>
      </c>
      <c r="CJ7" s="33">
        <v>17.922222222222221</v>
      </c>
      <c r="CK7" s="33">
        <v>72.288888888888891</v>
      </c>
      <c r="CL7" s="33">
        <v>29.533333333333335</v>
      </c>
      <c r="CM7" s="33">
        <v>63.416666666666657</v>
      </c>
      <c r="CN7" s="33">
        <v>112.72222222222223</v>
      </c>
      <c r="CO7" s="33">
        <v>165.23888888888888</v>
      </c>
      <c r="CP7" s="33">
        <v>176.13888888888889</v>
      </c>
      <c r="CQ7" s="33">
        <v>23.622222222222199</v>
      </c>
      <c r="CR7" s="33">
        <v>0</v>
      </c>
      <c r="CS7" s="33">
        <v>23.622222222222199</v>
      </c>
      <c r="CT7" s="33">
        <v>0</v>
      </c>
      <c r="CU7" s="33">
        <v>6</v>
      </c>
      <c r="CV7" s="32">
        <v>1</v>
      </c>
      <c r="CW7" s="32">
        <v>7</v>
      </c>
      <c r="CX7" s="32">
        <v>8</v>
      </c>
      <c r="CY7" s="32">
        <v>9</v>
      </c>
      <c r="CZ7" s="32">
        <v>12</v>
      </c>
      <c r="DA7" s="32">
        <v>13</v>
      </c>
      <c r="DB7" s="32">
        <v>9</v>
      </c>
      <c r="DC7" s="32">
        <v>15</v>
      </c>
      <c r="DD7" s="32">
        <v>14</v>
      </c>
      <c r="DE7" s="32">
        <v>17</v>
      </c>
      <c r="DF7" s="32">
        <v>12</v>
      </c>
      <c r="DG7" s="32">
        <v>13</v>
      </c>
      <c r="DH7" s="32">
        <v>16</v>
      </c>
      <c r="DI7" s="32">
        <v>16</v>
      </c>
      <c r="DJ7" s="32">
        <v>66</v>
      </c>
      <c r="DK7" s="32">
        <v>31</v>
      </c>
      <c r="DL7" s="32">
        <v>57</v>
      </c>
      <c r="DM7" s="32">
        <v>104</v>
      </c>
      <c r="DN7" s="32">
        <v>154</v>
      </c>
      <c r="DO7" s="32">
        <v>161</v>
      </c>
      <c r="DP7" s="32">
        <v>0</v>
      </c>
      <c r="DQ7" s="32">
        <v>38</v>
      </c>
      <c r="DR7" s="32">
        <v>23</v>
      </c>
      <c r="DS7" s="32">
        <v>1</v>
      </c>
      <c r="DT7" s="32">
        <v>24</v>
      </c>
      <c r="DU7" s="32">
        <v>0</v>
      </c>
      <c r="DV7" s="33">
        <v>20.800000000000004</v>
      </c>
      <c r="DW7" s="33">
        <v>20.25</v>
      </c>
      <c r="DX7" s="33">
        <v>7.92</v>
      </c>
      <c r="DY7" s="33">
        <v>9.5300000000000011</v>
      </c>
      <c r="DZ7" s="33">
        <v>1</v>
      </c>
      <c r="EA7" s="33">
        <v>22.1</v>
      </c>
      <c r="EB7" s="34">
        <v>7.3958333333333293E-2</v>
      </c>
      <c r="EC7" s="32"/>
      <c r="ED7" s="32">
        <v>6</v>
      </c>
      <c r="EE7" s="32">
        <v>139</v>
      </c>
      <c r="EF7" s="32"/>
      <c r="EG7" s="32"/>
      <c r="EH7" s="33"/>
      <c r="EI7" s="32">
        <v>145</v>
      </c>
      <c r="EJ7" s="32">
        <v>2</v>
      </c>
      <c r="EK7" s="32">
        <v>25</v>
      </c>
      <c r="EL7" s="32">
        <v>27</v>
      </c>
      <c r="EM7" s="32">
        <v>25</v>
      </c>
      <c r="EN7" s="32">
        <v>0</v>
      </c>
      <c r="EO7" s="32">
        <v>2</v>
      </c>
      <c r="EP7" s="33">
        <v>6.04</v>
      </c>
      <c r="EQ7" s="33">
        <v>0</v>
      </c>
      <c r="ER7" s="33">
        <v>2.46</v>
      </c>
      <c r="ES7" s="33">
        <v>0.17</v>
      </c>
      <c r="ET7" s="33">
        <v>12.01</v>
      </c>
      <c r="EU7" s="33">
        <v>20.68</v>
      </c>
    </row>
    <row r="8" spans="1:151" ht="41.4" x14ac:dyDescent="0.3">
      <c r="A8" s="25">
        <v>7</v>
      </c>
      <c r="B8" s="26" t="s">
        <v>267</v>
      </c>
      <c r="C8" s="27" t="s">
        <v>653</v>
      </c>
      <c r="D8" s="27" t="s">
        <v>261</v>
      </c>
      <c r="E8" s="26" t="s">
        <v>504</v>
      </c>
      <c r="F8" s="26" t="s">
        <v>504</v>
      </c>
      <c r="G8" s="28">
        <v>7830.7444444444445</v>
      </c>
      <c r="H8" s="28">
        <v>870.86666666666667</v>
      </c>
      <c r="I8" s="29">
        <v>4304</v>
      </c>
      <c r="J8" s="29">
        <v>31131</v>
      </c>
      <c r="K8" s="29">
        <v>11895</v>
      </c>
      <c r="L8" s="29">
        <v>24234</v>
      </c>
      <c r="M8" s="29">
        <v>71564</v>
      </c>
      <c r="N8" s="29">
        <v>67260</v>
      </c>
      <c r="O8" s="29">
        <v>47330</v>
      </c>
      <c r="P8" s="29">
        <v>888</v>
      </c>
      <c r="Q8" s="27">
        <v>4248.4833333333336</v>
      </c>
      <c r="R8" s="27">
        <v>4942.4222222222224</v>
      </c>
      <c r="S8" s="27">
        <v>4841.1888888888889</v>
      </c>
      <c r="T8" s="27">
        <v>5122.4666666666662</v>
      </c>
      <c r="U8" s="27">
        <v>5250.8555555555558</v>
      </c>
      <c r="V8" s="27">
        <v>5283.4611111111108</v>
      </c>
      <c r="W8" s="27">
        <v>5319.7388888888891</v>
      </c>
      <c r="X8" s="27">
        <v>5800.083333333333</v>
      </c>
      <c r="Y8" s="27">
        <v>5860.6833333333334</v>
      </c>
      <c r="Z8" s="27">
        <v>5968.2111111111108</v>
      </c>
      <c r="AA8" s="27">
        <v>6221.8944444444442</v>
      </c>
      <c r="AB8" s="27">
        <v>5824.2055555555553</v>
      </c>
      <c r="AC8" s="27">
        <v>5190.5722222222221</v>
      </c>
      <c r="AD8" s="27">
        <v>30760.133333333335</v>
      </c>
      <c r="AE8" s="27">
        <v>11660.766666666666</v>
      </c>
      <c r="AF8" s="27">
        <v>23204.883333333331</v>
      </c>
      <c r="AG8" s="27">
        <v>46669.383333333339</v>
      </c>
      <c r="AH8" s="27">
        <v>65625.783333333326</v>
      </c>
      <c r="AI8" s="27">
        <v>69874.266666666663</v>
      </c>
      <c r="AJ8" s="28">
        <v>8288.8666666666668</v>
      </c>
      <c r="AK8" s="28">
        <v>882.98333333333335</v>
      </c>
      <c r="AL8" s="28">
        <v>9171.85</v>
      </c>
      <c r="AM8" s="29">
        <v>4232</v>
      </c>
      <c r="AN8" s="35">
        <v>4404</v>
      </c>
      <c r="AO8" s="27">
        <v>5024</v>
      </c>
      <c r="AP8" s="27">
        <v>4965</v>
      </c>
      <c r="AQ8" s="27">
        <v>5196</v>
      </c>
      <c r="AR8" s="27">
        <v>5375</v>
      </c>
      <c r="AS8" s="27">
        <v>5395</v>
      </c>
      <c r="AT8" s="27">
        <v>5675</v>
      </c>
      <c r="AU8" s="27">
        <v>5901</v>
      </c>
      <c r="AV8" s="27">
        <v>5995</v>
      </c>
      <c r="AW8" s="27">
        <v>6205</v>
      </c>
      <c r="AX8" s="27">
        <v>6279</v>
      </c>
      <c r="AY8" s="27">
        <v>6057</v>
      </c>
      <c r="AZ8" s="27">
        <v>30359</v>
      </c>
      <c r="BA8" s="27">
        <v>11576</v>
      </c>
      <c r="BB8" s="27">
        <v>24536</v>
      </c>
      <c r="BC8" s="27">
        <v>46167</v>
      </c>
      <c r="BD8" s="27">
        <v>66471</v>
      </c>
      <c r="BE8" s="27">
        <v>70703</v>
      </c>
      <c r="BF8" s="27">
        <v>3851</v>
      </c>
      <c r="BG8" s="27">
        <v>381</v>
      </c>
      <c r="BH8" s="27">
        <v>31</v>
      </c>
      <c r="BI8" s="27">
        <v>13128</v>
      </c>
      <c r="BJ8" s="27">
        <v>8526</v>
      </c>
      <c r="BK8" s="29">
        <v>914</v>
      </c>
      <c r="BL8" s="29">
        <v>9440</v>
      </c>
      <c r="BM8" s="29">
        <v>3167</v>
      </c>
      <c r="BN8" s="30">
        <v>9.3289730449815589E-2</v>
      </c>
      <c r="BO8" s="31">
        <v>3895.2980000000002</v>
      </c>
      <c r="BP8" s="31">
        <v>3692.998</v>
      </c>
      <c r="BQ8" s="31">
        <v>3505.4740000000006</v>
      </c>
      <c r="BR8" s="31">
        <v>3864.6099999999988</v>
      </c>
      <c r="BS8" s="32">
        <v>2962</v>
      </c>
      <c r="BT8" s="32">
        <v>198</v>
      </c>
      <c r="BU8" s="33">
        <v>1239.4277770000001</v>
      </c>
      <c r="BV8" s="33">
        <v>382.88888800000001</v>
      </c>
      <c r="BW8" s="33">
        <v>3830.7388879999999</v>
      </c>
      <c r="BX8" s="33">
        <v>4213.6277777777777</v>
      </c>
      <c r="BY8" s="33">
        <v>4352.1222222222223</v>
      </c>
      <c r="BZ8" s="33">
        <v>4968.7555555555555</v>
      </c>
      <c r="CA8" s="33">
        <v>4908.8</v>
      </c>
      <c r="CB8" s="33">
        <v>5147.3944444444442</v>
      </c>
      <c r="CC8" s="33">
        <v>5303.6166666666668</v>
      </c>
      <c r="CD8" s="33">
        <v>5328.6444444444442</v>
      </c>
      <c r="CE8" s="33">
        <v>5579.5666666666666</v>
      </c>
      <c r="CF8" s="33">
        <v>5767.3833333333332</v>
      </c>
      <c r="CG8" s="33">
        <v>5879.9722222222226</v>
      </c>
      <c r="CH8" s="33">
        <v>6096.6888888888889</v>
      </c>
      <c r="CI8" s="33">
        <v>6088.2722222222219</v>
      </c>
      <c r="CJ8" s="33">
        <v>5350.9444444444443</v>
      </c>
      <c r="CK8" s="33">
        <v>30009.333333333336</v>
      </c>
      <c r="CL8" s="33">
        <v>11346.95</v>
      </c>
      <c r="CM8" s="33">
        <v>23415.87777777778</v>
      </c>
      <c r="CN8" s="33">
        <v>45569.911111111105</v>
      </c>
      <c r="CO8" s="33">
        <v>64772.161111111112</v>
      </c>
      <c r="CP8" s="33">
        <v>68985.788888888885</v>
      </c>
      <c r="CQ8" s="33">
        <v>8591.8111111111102</v>
      </c>
      <c r="CR8" s="33">
        <v>871.87777777777796</v>
      </c>
      <c r="CS8" s="33">
        <v>9463.688888888888</v>
      </c>
      <c r="CT8" s="33">
        <v>1204.0944440000001</v>
      </c>
      <c r="CU8" s="33">
        <v>3915</v>
      </c>
      <c r="CV8" s="32">
        <v>153</v>
      </c>
      <c r="CW8" s="32">
        <v>4068</v>
      </c>
      <c r="CX8" s="32">
        <v>4328</v>
      </c>
      <c r="CY8" s="32">
        <v>4478</v>
      </c>
      <c r="CZ8" s="32">
        <v>5089</v>
      </c>
      <c r="DA8" s="32">
        <v>5020</v>
      </c>
      <c r="DB8" s="32">
        <v>5238</v>
      </c>
      <c r="DC8" s="32">
        <v>5406</v>
      </c>
      <c r="DD8" s="32">
        <v>5727</v>
      </c>
      <c r="DE8" s="32">
        <v>5716</v>
      </c>
      <c r="DF8" s="32">
        <v>5867</v>
      </c>
      <c r="DG8" s="32">
        <v>6224</v>
      </c>
      <c r="DH8" s="32">
        <v>6113</v>
      </c>
      <c r="DI8" s="32">
        <v>6328</v>
      </c>
      <c r="DJ8" s="32">
        <v>29559</v>
      </c>
      <c r="DK8" s="32">
        <v>11443</v>
      </c>
      <c r="DL8" s="32">
        <v>24532</v>
      </c>
      <c r="DM8" s="32">
        <v>45070</v>
      </c>
      <c r="DN8" s="32">
        <v>65534</v>
      </c>
      <c r="DO8" s="32">
        <v>69602</v>
      </c>
      <c r="DP8" s="32">
        <v>31</v>
      </c>
      <c r="DQ8" s="32">
        <v>13152</v>
      </c>
      <c r="DR8" s="32">
        <v>8876</v>
      </c>
      <c r="DS8" s="32">
        <v>897</v>
      </c>
      <c r="DT8" s="32">
        <v>9773</v>
      </c>
      <c r="DU8" s="32">
        <v>3206</v>
      </c>
      <c r="DV8" s="33">
        <v>3917.8179999999988</v>
      </c>
      <c r="DW8" s="33">
        <v>3692.0879999999988</v>
      </c>
      <c r="DX8" s="33">
        <v>1626.3040000000003</v>
      </c>
      <c r="DY8" s="33">
        <v>1493.7490000000012</v>
      </c>
      <c r="DZ8" s="33">
        <v>0</v>
      </c>
      <c r="EA8" s="33">
        <v>3969.8280000000022</v>
      </c>
      <c r="EB8" s="34">
        <v>9.4095447857248937E-2</v>
      </c>
      <c r="EC8" s="32"/>
      <c r="ED8" s="32">
        <v>3951</v>
      </c>
      <c r="EE8" s="32">
        <v>63649</v>
      </c>
      <c r="EF8" s="32"/>
      <c r="EG8" s="32"/>
      <c r="EH8" s="33"/>
      <c r="EI8" s="32">
        <v>67600</v>
      </c>
      <c r="EJ8" s="32">
        <v>849</v>
      </c>
      <c r="EK8" s="32">
        <v>9722</v>
      </c>
      <c r="EL8" s="32">
        <v>10571</v>
      </c>
      <c r="EM8" s="32">
        <v>8809</v>
      </c>
      <c r="EN8" s="32">
        <v>913</v>
      </c>
      <c r="EO8" s="32">
        <v>132</v>
      </c>
      <c r="EP8" s="33">
        <v>1674.33</v>
      </c>
      <c r="EQ8" s="33">
        <v>50.9</v>
      </c>
      <c r="ER8" s="33">
        <v>220.14</v>
      </c>
      <c r="ES8" s="33">
        <v>41.58</v>
      </c>
      <c r="ET8" s="33">
        <v>1066.1099999999999</v>
      </c>
      <c r="EU8" s="33">
        <v>3053.0599999999995</v>
      </c>
    </row>
    <row r="9" spans="1:151" ht="41.4" x14ac:dyDescent="0.3">
      <c r="A9" s="25">
        <v>8</v>
      </c>
      <c r="B9" s="26" t="s">
        <v>268</v>
      </c>
      <c r="C9" s="27" t="s">
        <v>654</v>
      </c>
      <c r="D9" s="27" t="s">
        <v>261</v>
      </c>
      <c r="E9" s="26" t="s">
        <v>504</v>
      </c>
      <c r="F9" s="26" t="s">
        <v>504</v>
      </c>
      <c r="G9" s="28">
        <v>828.65555555555557</v>
      </c>
      <c r="H9" s="28">
        <v>125.00555555555556</v>
      </c>
      <c r="I9" s="29">
        <v>360</v>
      </c>
      <c r="J9" s="29">
        <v>2338</v>
      </c>
      <c r="K9" s="29">
        <v>841</v>
      </c>
      <c r="L9" s="29">
        <v>1685</v>
      </c>
      <c r="M9" s="29">
        <v>5224</v>
      </c>
      <c r="N9" s="29">
        <v>4864</v>
      </c>
      <c r="O9" s="29">
        <v>3539</v>
      </c>
      <c r="P9" s="29">
        <v>126</v>
      </c>
      <c r="Q9" s="27">
        <v>347.52222222222224</v>
      </c>
      <c r="R9" s="27">
        <v>351.76666666666665</v>
      </c>
      <c r="S9" s="27">
        <v>375.95555555555558</v>
      </c>
      <c r="T9" s="27">
        <v>381.68333333333334</v>
      </c>
      <c r="U9" s="27">
        <v>420.06666666666666</v>
      </c>
      <c r="V9" s="27">
        <v>368.30555555555554</v>
      </c>
      <c r="W9" s="27">
        <v>374.99444444444447</v>
      </c>
      <c r="X9" s="27">
        <v>391.88333333333333</v>
      </c>
      <c r="Y9" s="27">
        <v>412.13888888888891</v>
      </c>
      <c r="Z9" s="27">
        <v>474.45</v>
      </c>
      <c r="AA9" s="27">
        <v>412.11111111111109</v>
      </c>
      <c r="AB9" s="27">
        <v>374.48333333333335</v>
      </c>
      <c r="AC9" s="27">
        <v>278.40555555555557</v>
      </c>
      <c r="AD9" s="27">
        <v>2272.7722222222224</v>
      </c>
      <c r="AE9" s="27">
        <v>804.02222222222224</v>
      </c>
      <c r="AF9" s="27">
        <v>1539.45</v>
      </c>
      <c r="AG9" s="27">
        <v>3424.3166666666666</v>
      </c>
      <c r="AH9" s="27">
        <v>4616.2444444444445</v>
      </c>
      <c r="AI9" s="27">
        <v>4963.7666666666664</v>
      </c>
      <c r="AJ9" s="28">
        <v>866.79444444444448</v>
      </c>
      <c r="AK9" s="28">
        <v>125.29444444444445</v>
      </c>
      <c r="AL9" s="28">
        <v>992.08888888888896</v>
      </c>
      <c r="AM9" s="29">
        <v>367</v>
      </c>
      <c r="AN9" s="35">
        <v>352</v>
      </c>
      <c r="AO9" s="27">
        <v>352</v>
      </c>
      <c r="AP9" s="27">
        <v>371</v>
      </c>
      <c r="AQ9" s="27">
        <v>382</v>
      </c>
      <c r="AR9" s="27">
        <v>428</v>
      </c>
      <c r="AS9" s="27">
        <v>380</v>
      </c>
      <c r="AT9" s="27">
        <v>391</v>
      </c>
      <c r="AU9" s="27">
        <v>413</v>
      </c>
      <c r="AV9" s="27">
        <v>445</v>
      </c>
      <c r="AW9" s="27">
        <v>472</v>
      </c>
      <c r="AX9" s="27">
        <v>411</v>
      </c>
      <c r="AY9" s="27">
        <v>379</v>
      </c>
      <c r="AZ9" s="27">
        <v>2265</v>
      </c>
      <c r="BA9" s="27">
        <v>804</v>
      </c>
      <c r="BB9" s="27">
        <v>1707</v>
      </c>
      <c r="BC9" s="27">
        <v>3436</v>
      </c>
      <c r="BD9" s="27">
        <v>4776</v>
      </c>
      <c r="BE9" s="27">
        <v>5143</v>
      </c>
      <c r="BF9" s="27">
        <v>356</v>
      </c>
      <c r="BG9" s="27">
        <v>11</v>
      </c>
      <c r="BH9" s="27">
        <v>3</v>
      </c>
      <c r="BI9" s="27">
        <v>1999</v>
      </c>
      <c r="BJ9" s="27">
        <v>888</v>
      </c>
      <c r="BK9" s="29">
        <v>123</v>
      </c>
      <c r="BL9" s="29">
        <v>1011</v>
      </c>
      <c r="BM9" s="29">
        <v>128</v>
      </c>
      <c r="BN9" s="30">
        <v>9.2211698155377775E-2</v>
      </c>
      <c r="BO9" s="31">
        <v>332.46199999999999</v>
      </c>
      <c r="BP9" s="31">
        <v>313.46200000000005</v>
      </c>
      <c r="BQ9" s="31">
        <v>296.91200000000003</v>
      </c>
      <c r="BR9" s="31">
        <v>330.09200000000004</v>
      </c>
      <c r="BS9" s="32">
        <v>0</v>
      </c>
      <c r="BT9" s="32">
        <v>15</v>
      </c>
      <c r="BU9" s="33">
        <v>152.41666599999999</v>
      </c>
      <c r="BV9" s="33">
        <v>7.8555549999999998</v>
      </c>
      <c r="BW9" s="33">
        <v>354.7</v>
      </c>
      <c r="BX9" s="33">
        <v>362.55555555555554</v>
      </c>
      <c r="BY9" s="33">
        <v>343.26666666666665</v>
      </c>
      <c r="BZ9" s="33">
        <v>337.3</v>
      </c>
      <c r="CA9" s="33">
        <v>371.27222222222224</v>
      </c>
      <c r="CB9" s="33">
        <v>366.89444444444445</v>
      </c>
      <c r="CC9" s="33">
        <v>423.5888888888889</v>
      </c>
      <c r="CD9" s="33">
        <v>356.3</v>
      </c>
      <c r="CE9" s="33">
        <v>368.97222222222223</v>
      </c>
      <c r="CF9" s="33">
        <v>397.00555555555553</v>
      </c>
      <c r="CG9" s="33">
        <v>426.23888888888888</v>
      </c>
      <c r="CH9" s="33">
        <v>450</v>
      </c>
      <c r="CI9" s="33">
        <v>383.61666666666667</v>
      </c>
      <c r="CJ9" s="33">
        <v>289.67222222222222</v>
      </c>
      <c r="CK9" s="33">
        <v>2198.6222222222223</v>
      </c>
      <c r="CL9" s="33">
        <v>765.97777777777776</v>
      </c>
      <c r="CM9" s="33">
        <v>1549.5277777777776</v>
      </c>
      <c r="CN9" s="33">
        <v>3327.1555555555556</v>
      </c>
      <c r="CO9" s="33">
        <v>4514.1277777777777</v>
      </c>
      <c r="CP9" s="33">
        <v>4876.6833333333334</v>
      </c>
      <c r="CQ9" s="33">
        <v>874.53333333333296</v>
      </c>
      <c r="CR9" s="33">
        <v>123.37777777777799</v>
      </c>
      <c r="CS9" s="33">
        <v>997.91111111111093</v>
      </c>
      <c r="CT9" s="33">
        <v>147.37777700000001</v>
      </c>
      <c r="CU9" s="33">
        <v>341</v>
      </c>
      <c r="CV9" s="32">
        <v>7</v>
      </c>
      <c r="CW9" s="32">
        <v>348</v>
      </c>
      <c r="CX9" s="32">
        <v>368</v>
      </c>
      <c r="CY9" s="32">
        <v>353</v>
      </c>
      <c r="CZ9" s="32">
        <v>350</v>
      </c>
      <c r="DA9" s="32">
        <v>385</v>
      </c>
      <c r="DB9" s="32">
        <v>381</v>
      </c>
      <c r="DC9" s="32">
        <v>430</v>
      </c>
      <c r="DD9" s="32">
        <v>374</v>
      </c>
      <c r="DE9" s="32">
        <v>395</v>
      </c>
      <c r="DF9" s="32">
        <v>449</v>
      </c>
      <c r="DG9" s="32">
        <v>449</v>
      </c>
      <c r="DH9" s="32">
        <v>442</v>
      </c>
      <c r="DI9" s="32">
        <v>380</v>
      </c>
      <c r="DJ9" s="32">
        <v>2267</v>
      </c>
      <c r="DK9" s="32">
        <v>769</v>
      </c>
      <c r="DL9" s="32">
        <v>1720</v>
      </c>
      <c r="DM9" s="32">
        <v>3384</v>
      </c>
      <c r="DN9" s="32">
        <v>4756</v>
      </c>
      <c r="DO9" s="32">
        <v>5104</v>
      </c>
      <c r="DP9" s="32">
        <v>1</v>
      </c>
      <c r="DQ9" s="32">
        <v>1831</v>
      </c>
      <c r="DR9" s="32">
        <v>869</v>
      </c>
      <c r="DS9" s="32">
        <v>120</v>
      </c>
      <c r="DT9" s="32">
        <v>989</v>
      </c>
      <c r="DU9" s="32">
        <v>120</v>
      </c>
      <c r="DV9" s="33">
        <v>334.63600000000002</v>
      </c>
      <c r="DW9" s="33">
        <v>316.63600000000008</v>
      </c>
      <c r="DX9" s="33">
        <v>145.233</v>
      </c>
      <c r="DY9" s="33">
        <v>128.24800000000002</v>
      </c>
      <c r="DZ9" s="33">
        <v>1</v>
      </c>
      <c r="EA9" s="33">
        <v>343.01600000000002</v>
      </c>
      <c r="EB9" s="34">
        <v>9.4805243910479786E-2</v>
      </c>
      <c r="EC9" s="32"/>
      <c r="ED9" s="32">
        <v>342</v>
      </c>
      <c r="EE9" s="32">
        <v>4667</v>
      </c>
      <c r="EF9" s="32"/>
      <c r="EG9" s="32"/>
      <c r="EH9" s="33"/>
      <c r="EI9" s="32">
        <v>5009</v>
      </c>
      <c r="EJ9" s="32">
        <v>80</v>
      </c>
      <c r="EK9" s="32">
        <v>979</v>
      </c>
      <c r="EL9" s="32">
        <v>1059</v>
      </c>
      <c r="EM9" s="32">
        <v>862</v>
      </c>
      <c r="EN9" s="32">
        <v>117</v>
      </c>
      <c r="EO9" s="32">
        <v>22</v>
      </c>
      <c r="EP9" s="33">
        <v>179.45599999999999</v>
      </c>
      <c r="EQ9" s="33">
        <v>7.625</v>
      </c>
      <c r="ER9" s="33">
        <v>22.2</v>
      </c>
      <c r="ES9" s="33">
        <v>1.0680000000000001</v>
      </c>
      <c r="ET9" s="33">
        <v>105.99299999999999</v>
      </c>
      <c r="EU9" s="33">
        <v>316.34199999999998</v>
      </c>
    </row>
    <row r="10" spans="1:151" ht="27.6" x14ac:dyDescent="0.3">
      <c r="A10" s="25">
        <v>9</v>
      </c>
      <c r="B10" s="26" t="s">
        <v>269</v>
      </c>
      <c r="C10" s="27" t="s">
        <v>655</v>
      </c>
      <c r="D10" s="27" t="s">
        <v>261</v>
      </c>
      <c r="E10" s="26" t="s">
        <v>504</v>
      </c>
      <c r="F10" s="26" t="s">
        <v>504</v>
      </c>
      <c r="G10" s="28">
        <v>376.78888888888889</v>
      </c>
      <c r="H10" s="28">
        <v>28.038888888888888</v>
      </c>
      <c r="I10" s="29">
        <v>139</v>
      </c>
      <c r="J10" s="29">
        <v>923</v>
      </c>
      <c r="K10" s="29">
        <v>329</v>
      </c>
      <c r="L10" s="29">
        <v>694</v>
      </c>
      <c r="M10" s="29">
        <v>2085</v>
      </c>
      <c r="N10" s="29">
        <v>1946</v>
      </c>
      <c r="O10" s="29">
        <v>1391</v>
      </c>
      <c r="P10" s="29">
        <v>30</v>
      </c>
      <c r="Q10" s="27">
        <v>136.69444444444446</v>
      </c>
      <c r="R10" s="27">
        <v>128.39444444444445</v>
      </c>
      <c r="S10" s="27">
        <v>166.65</v>
      </c>
      <c r="T10" s="27">
        <v>140.322222222222</v>
      </c>
      <c r="U10" s="27">
        <v>159.62777777777777</v>
      </c>
      <c r="V10" s="27">
        <v>155.9</v>
      </c>
      <c r="W10" s="27">
        <v>152.73333333333332</v>
      </c>
      <c r="X10" s="27">
        <v>152.31666666666666</v>
      </c>
      <c r="Y10" s="27">
        <v>170.67222222222222</v>
      </c>
      <c r="Z10" s="27">
        <v>178.89444444444445</v>
      </c>
      <c r="AA10" s="27">
        <v>171.1611111111111</v>
      </c>
      <c r="AB10" s="27">
        <v>158.11111111111111</v>
      </c>
      <c r="AC10" s="27">
        <v>136.46666666666667</v>
      </c>
      <c r="AD10" s="27">
        <v>903.62777777777774</v>
      </c>
      <c r="AE10" s="27">
        <v>322.98888888888888</v>
      </c>
      <c r="AF10" s="27">
        <v>644.63333333333333</v>
      </c>
      <c r="AG10" s="27">
        <v>1363.3111111111109</v>
      </c>
      <c r="AH10" s="27">
        <v>1871.2499999999998</v>
      </c>
      <c r="AI10" s="27">
        <v>2007.9444444444441</v>
      </c>
      <c r="AJ10" s="28">
        <v>354.35555555555555</v>
      </c>
      <c r="AK10" s="28">
        <v>29.388888888888889</v>
      </c>
      <c r="AL10" s="28">
        <v>383.74444444444447</v>
      </c>
      <c r="AM10" s="29">
        <v>150</v>
      </c>
      <c r="AN10" s="35">
        <v>137</v>
      </c>
      <c r="AO10" s="27">
        <v>130</v>
      </c>
      <c r="AP10" s="27">
        <v>170</v>
      </c>
      <c r="AQ10" s="27">
        <v>136</v>
      </c>
      <c r="AR10" s="27">
        <v>168</v>
      </c>
      <c r="AS10" s="27">
        <v>163</v>
      </c>
      <c r="AT10" s="27">
        <v>161</v>
      </c>
      <c r="AU10" s="27">
        <v>161</v>
      </c>
      <c r="AV10" s="27">
        <v>182</v>
      </c>
      <c r="AW10" s="27">
        <v>179</v>
      </c>
      <c r="AX10" s="27">
        <v>165</v>
      </c>
      <c r="AY10" s="27">
        <v>156</v>
      </c>
      <c r="AZ10" s="27">
        <v>904</v>
      </c>
      <c r="BA10" s="27">
        <v>322</v>
      </c>
      <c r="BB10" s="27">
        <v>682</v>
      </c>
      <c r="BC10" s="27">
        <v>1376</v>
      </c>
      <c r="BD10" s="27">
        <v>1908</v>
      </c>
      <c r="BE10" s="27">
        <v>2058</v>
      </c>
      <c r="BF10" s="27">
        <v>150</v>
      </c>
      <c r="BG10" s="27">
        <v>0</v>
      </c>
      <c r="BH10" s="27">
        <v>4</v>
      </c>
      <c r="BI10" s="27">
        <v>942</v>
      </c>
      <c r="BJ10" s="27">
        <v>354</v>
      </c>
      <c r="BK10" s="29">
        <v>26</v>
      </c>
      <c r="BL10" s="29">
        <v>380</v>
      </c>
      <c r="BM10" s="29">
        <v>62</v>
      </c>
      <c r="BN10" s="30">
        <v>8.9690241834402495E-2</v>
      </c>
      <c r="BO10" s="31">
        <v>147.63999999999999</v>
      </c>
      <c r="BP10" s="31">
        <v>136.63999999999999</v>
      </c>
      <c r="BQ10" s="31">
        <v>133.68</v>
      </c>
      <c r="BR10" s="31">
        <v>151.13999999999999</v>
      </c>
      <c r="BS10" s="32">
        <v>0</v>
      </c>
      <c r="BT10" s="32">
        <v>0</v>
      </c>
      <c r="BU10" s="33">
        <v>0</v>
      </c>
      <c r="BV10" s="33">
        <v>31.705555</v>
      </c>
      <c r="BW10" s="33">
        <v>113.955555</v>
      </c>
      <c r="BX10" s="33">
        <v>145.6611111111111</v>
      </c>
      <c r="BY10" s="33">
        <v>132.98888888888888</v>
      </c>
      <c r="BZ10" s="33">
        <v>128.04444444444445</v>
      </c>
      <c r="CA10" s="33">
        <v>164.42222222222222</v>
      </c>
      <c r="CB10" s="33">
        <v>132.36111111111111</v>
      </c>
      <c r="CC10" s="33">
        <v>163.01111111111112</v>
      </c>
      <c r="CD10" s="33">
        <v>159.97222222222223</v>
      </c>
      <c r="CE10" s="33">
        <v>153.82777777777778</v>
      </c>
      <c r="CF10" s="33">
        <v>151.72777777777779</v>
      </c>
      <c r="CG10" s="33">
        <v>177.80555555555554</v>
      </c>
      <c r="CH10" s="33">
        <v>173.17222222222222</v>
      </c>
      <c r="CI10" s="33">
        <v>160.22777777777779</v>
      </c>
      <c r="CJ10" s="33">
        <v>124.26111111111111</v>
      </c>
      <c r="CK10" s="33">
        <v>880.8</v>
      </c>
      <c r="CL10" s="33">
        <v>305.55555555555554</v>
      </c>
      <c r="CM10" s="33">
        <v>635.46666666666658</v>
      </c>
      <c r="CN10" s="33">
        <v>1332.0166666666667</v>
      </c>
      <c r="CO10" s="33">
        <v>1821.8222222222223</v>
      </c>
      <c r="CP10" s="33">
        <v>1967.4833333333333</v>
      </c>
      <c r="CQ10" s="33">
        <v>351.722222222222</v>
      </c>
      <c r="CR10" s="33">
        <v>24.3611111111111</v>
      </c>
      <c r="CS10" s="33">
        <v>376.08333333333309</v>
      </c>
      <c r="CT10" s="33">
        <v>0</v>
      </c>
      <c r="CU10" s="33">
        <v>123</v>
      </c>
      <c r="CV10" s="32">
        <v>1</v>
      </c>
      <c r="CW10" s="32">
        <v>124</v>
      </c>
      <c r="CX10" s="32">
        <v>145</v>
      </c>
      <c r="CY10" s="32">
        <v>129</v>
      </c>
      <c r="CZ10" s="32">
        <v>134</v>
      </c>
      <c r="DA10" s="32">
        <v>167</v>
      </c>
      <c r="DB10" s="32">
        <v>133</v>
      </c>
      <c r="DC10" s="32">
        <v>167</v>
      </c>
      <c r="DD10" s="32">
        <v>164</v>
      </c>
      <c r="DE10" s="32">
        <v>154</v>
      </c>
      <c r="DF10" s="32">
        <v>156</v>
      </c>
      <c r="DG10" s="32">
        <v>178</v>
      </c>
      <c r="DH10" s="32">
        <v>179</v>
      </c>
      <c r="DI10" s="32">
        <v>156</v>
      </c>
      <c r="DJ10" s="32">
        <v>875</v>
      </c>
      <c r="DK10" s="32">
        <v>318</v>
      </c>
      <c r="DL10" s="32">
        <v>669</v>
      </c>
      <c r="DM10" s="32">
        <v>1317</v>
      </c>
      <c r="DN10" s="32">
        <v>1862</v>
      </c>
      <c r="DO10" s="32">
        <v>1986</v>
      </c>
      <c r="DP10" s="32">
        <v>1</v>
      </c>
      <c r="DQ10" s="32">
        <v>935</v>
      </c>
      <c r="DR10" s="32">
        <v>367</v>
      </c>
      <c r="DS10" s="32">
        <v>20</v>
      </c>
      <c r="DT10" s="32">
        <v>387</v>
      </c>
      <c r="DU10" s="32">
        <v>52</v>
      </c>
      <c r="DV10" s="33">
        <v>144.35499999999999</v>
      </c>
      <c r="DW10" s="33">
        <v>133.35499999999999</v>
      </c>
      <c r="DX10" s="33">
        <v>56.753</v>
      </c>
      <c r="DY10" s="33">
        <v>60.919999999999995</v>
      </c>
      <c r="DZ10" s="33">
        <v>0</v>
      </c>
      <c r="EA10" s="33">
        <v>148.505</v>
      </c>
      <c r="EB10" s="34">
        <v>9.0573152337858343E-2</v>
      </c>
      <c r="EC10" s="32"/>
      <c r="ED10" s="32">
        <v>119</v>
      </c>
      <c r="EE10" s="32">
        <v>1785</v>
      </c>
      <c r="EF10" s="32"/>
      <c r="EG10" s="32"/>
      <c r="EH10" s="33"/>
      <c r="EI10" s="32">
        <v>1904</v>
      </c>
      <c r="EJ10" s="32">
        <v>40</v>
      </c>
      <c r="EK10" s="32">
        <v>389</v>
      </c>
      <c r="EL10" s="32">
        <v>429</v>
      </c>
      <c r="EM10" s="32">
        <v>367</v>
      </c>
      <c r="EN10" s="32">
        <v>22</v>
      </c>
      <c r="EO10" s="32">
        <v>24</v>
      </c>
      <c r="EP10" s="33">
        <v>74.331000000000003</v>
      </c>
      <c r="EQ10" s="33">
        <v>4.45</v>
      </c>
      <c r="ER10" s="33">
        <v>11.875</v>
      </c>
      <c r="ES10" s="33">
        <v>2</v>
      </c>
      <c r="ET10" s="33">
        <v>51.325000000000003</v>
      </c>
      <c r="EU10" s="33">
        <v>143.98099999999999</v>
      </c>
    </row>
    <row r="11" spans="1:151" ht="41.4" x14ac:dyDescent="0.3">
      <c r="A11" s="25">
        <v>10</v>
      </c>
      <c r="B11" s="26" t="s">
        <v>456</v>
      </c>
      <c r="C11" s="27" t="s">
        <v>656</v>
      </c>
      <c r="D11" s="27" t="s">
        <v>261</v>
      </c>
      <c r="E11" s="26" t="s">
        <v>504</v>
      </c>
      <c r="F11" s="26" t="s">
        <v>504</v>
      </c>
      <c r="G11" s="28">
        <v>112.87222222222222</v>
      </c>
      <c r="H11" s="28">
        <v>11.822222222222223</v>
      </c>
      <c r="I11" s="29">
        <v>118</v>
      </c>
      <c r="J11" s="29">
        <v>686</v>
      </c>
      <c r="K11" s="29">
        <v>139</v>
      </c>
      <c r="L11" s="29">
        <v>300</v>
      </c>
      <c r="M11" s="29">
        <v>1243</v>
      </c>
      <c r="N11" s="29">
        <v>1125</v>
      </c>
      <c r="O11" s="29">
        <v>943</v>
      </c>
      <c r="P11" s="29">
        <v>10</v>
      </c>
      <c r="Q11" s="27">
        <v>113.17222222222222</v>
      </c>
      <c r="R11" s="27">
        <v>125.28888888888889</v>
      </c>
      <c r="S11" s="27">
        <v>136.1611111111111</v>
      </c>
      <c r="T11" s="27">
        <v>118.62777777777778</v>
      </c>
      <c r="U11" s="27">
        <v>107.32222222222222</v>
      </c>
      <c r="V11" s="27">
        <v>94.338888888888889</v>
      </c>
      <c r="W11" s="27">
        <v>80.88333333333334</v>
      </c>
      <c r="X11" s="27">
        <v>69.62222222222222</v>
      </c>
      <c r="Y11" s="27">
        <v>67.672222222222217</v>
      </c>
      <c r="Z11" s="27">
        <v>73.938888888888883</v>
      </c>
      <c r="AA11" s="27">
        <v>83.161111111111111</v>
      </c>
      <c r="AB11" s="27">
        <v>65.155555555555551</v>
      </c>
      <c r="AC11" s="27">
        <v>68.516666666666666</v>
      </c>
      <c r="AD11" s="27">
        <v>662.62222222222215</v>
      </c>
      <c r="AE11" s="27">
        <v>137.29444444444442</v>
      </c>
      <c r="AF11" s="27">
        <v>290.77222222222218</v>
      </c>
      <c r="AG11" s="27">
        <v>913.08888888888885</v>
      </c>
      <c r="AH11" s="27">
        <v>1090.6888888888889</v>
      </c>
      <c r="AI11" s="27">
        <v>1203.8611111111111</v>
      </c>
      <c r="AJ11" s="28">
        <v>119.38888888888889</v>
      </c>
      <c r="AK11" s="28">
        <v>9.9444444444444446</v>
      </c>
      <c r="AL11" s="28">
        <v>129.33333333333334</v>
      </c>
      <c r="AM11" s="29">
        <v>175</v>
      </c>
      <c r="AN11" s="35">
        <v>179</v>
      </c>
      <c r="AO11" s="27">
        <v>163</v>
      </c>
      <c r="AP11" s="27">
        <v>183</v>
      </c>
      <c r="AQ11" s="27">
        <v>150</v>
      </c>
      <c r="AR11" s="27">
        <v>142</v>
      </c>
      <c r="AS11" s="27">
        <v>108</v>
      </c>
      <c r="AT11" s="27">
        <v>62</v>
      </c>
      <c r="AU11" s="27">
        <v>67</v>
      </c>
      <c r="AV11" s="27">
        <v>66</v>
      </c>
      <c r="AW11" s="27">
        <v>70</v>
      </c>
      <c r="AX11" s="27">
        <v>81</v>
      </c>
      <c r="AY11" s="27">
        <v>65</v>
      </c>
      <c r="AZ11" s="27">
        <v>925</v>
      </c>
      <c r="BA11" s="27">
        <v>129</v>
      </c>
      <c r="BB11" s="27">
        <v>282</v>
      </c>
      <c r="BC11" s="27">
        <v>1229</v>
      </c>
      <c r="BD11" s="27">
        <v>1336</v>
      </c>
      <c r="BE11" s="27">
        <v>1511</v>
      </c>
      <c r="BF11" s="27">
        <v>175</v>
      </c>
      <c r="BG11" s="27">
        <v>0</v>
      </c>
      <c r="BH11" s="27">
        <v>0</v>
      </c>
      <c r="BI11" s="27">
        <v>474</v>
      </c>
      <c r="BJ11" s="27">
        <v>133</v>
      </c>
      <c r="BK11" s="29">
        <v>10</v>
      </c>
      <c r="BL11" s="29">
        <v>143</v>
      </c>
      <c r="BM11" s="29">
        <v>85</v>
      </c>
      <c r="BN11" s="30">
        <v>8.7009986265308426E-2</v>
      </c>
      <c r="BO11" s="31">
        <v>77.862000000000009</v>
      </c>
      <c r="BP11" s="31">
        <v>73.412000000000006</v>
      </c>
      <c r="BQ11" s="31">
        <v>72.462000000000003</v>
      </c>
      <c r="BR11" s="31">
        <v>77.161999999999978</v>
      </c>
      <c r="BS11" s="32">
        <v>0</v>
      </c>
      <c r="BT11" s="32">
        <v>207</v>
      </c>
      <c r="BU11" s="33">
        <v>298.91111100000001</v>
      </c>
      <c r="BV11" s="33">
        <v>103.466666</v>
      </c>
      <c r="BW11" s="33">
        <v>58.777777</v>
      </c>
      <c r="BX11" s="33">
        <v>162.24444444444444</v>
      </c>
      <c r="BY11" s="33">
        <v>171.44444444444446</v>
      </c>
      <c r="BZ11" s="33">
        <v>153.5888888888889</v>
      </c>
      <c r="CA11" s="33">
        <v>174.8111111111111</v>
      </c>
      <c r="CB11" s="33">
        <v>143.72222222222223</v>
      </c>
      <c r="CC11" s="33">
        <v>136</v>
      </c>
      <c r="CD11" s="33">
        <v>104.32222222222222</v>
      </c>
      <c r="CE11" s="33">
        <v>62.18888888888889</v>
      </c>
      <c r="CF11" s="33">
        <v>65.661111111111111</v>
      </c>
      <c r="CG11" s="33">
        <v>65.905555555555551</v>
      </c>
      <c r="CH11" s="33">
        <v>71.483333333333334</v>
      </c>
      <c r="CI11" s="33">
        <v>80.733333333333334</v>
      </c>
      <c r="CJ11" s="33">
        <v>62.094444444444441</v>
      </c>
      <c r="CK11" s="33">
        <v>883.8888888888888</v>
      </c>
      <c r="CL11" s="33">
        <v>127.85</v>
      </c>
      <c r="CM11" s="33">
        <v>280.21666666666664</v>
      </c>
      <c r="CN11" s="33">
        <v>1173.9833333333333</v>
      </c>
      <c r="CO11" s="33">
        <v>1291.9555555555555</v>
      </c>
      <c r="CP11" s="33">
        <v>1454.2</v>
      </c>
      <c r="CQ11" s="33">
        <v>130.555555555556</v>
      </c>
      <c r="CR11" s="33">
        <v>8.9666666666666703</v>
      </c>
      <c r="CS11" s="33">
        <v>139.52222222222267</v>
      </c>
      <c r="CT11" s="33">
        <v>427.455555</v>
      </c>
      <c r="CU11" s="33">
        <v>225</v>
      </c>
      <c r="CV11" s="32">
        <v>1</v>
      </c>
      <c r="CW11" s="32">
        <v>226</v>
      </c>
      <c r="CX11" s="32">
        <v>187</v>
      </c>
      <c r="CY11" s="32">
        <v>163</v>
      </c>
      <c r="CZ11" s="32">
        <v>155</v>
      </c>
      <c r="DA11" s="32">
        <v>162</v>
      </c>
      <c r="DB11" s="32">
        <v>134</v>
      </c>
      <c r="DC11" s="32">
        <v>122</v>
      </c>
      <c r="DD11" s="32">
        <v>64</v>
      </c>
      <c r="DE11" s="32">
        <v>65</v>
      </c>
      <c r="DF11" s="32">
        <v>63</v>
      </c>
      <c r="DG11" s="32">
        <v>71</v>
      </c>
      <c r="DH11" s="32">
        <v>67</v>
      </c>
      <c r="DI11" s="32">
        <v>82</v>
      </c>
      <c r="DJ11" s="32">
        <v>923</v>
      </c>
      <c r="DK11" s="32">
        <v>129</v>
      </c>
      <c r="DL11" s="32">
        <v>283</v>
      </c>
      <c r="DM11" s="32">
        <v>1278</v>
      </c>
      <c r="DN11" s="32">
        <v>1335</v>
      </c>
      <c r="DO11" s="32">
        <v>1561</v>
      </c>
      <c r="DP11" s="32">
        <v>1</v>
      </c>
      <c r="DQ11" s="32">
        <v>348</v>
      </c>
      <c r="DR11" s="32">
        <v>114</v>
      </c>
      <c r="DS11" s="32">
        <v>9</v>
      </c>
      <c r="DT11" s="32">
        <v>123</v>
      </c>
      <c r="DU11" s="32">
        <v>86</v>
      </c>
      <c r="DV11" s="33">
        <v>82.289999999999992</v>
      </c>
      <c r="DW11" s="33">
        <v>76.589999999999989</v>
      </c>
      <c r="DX11" s="33">
        <v>37.299999999999997</v>
      </c>
      <c r="DY11" s="33">
        <v>31.999999999999996</v>
      </c>
      <c r="DZ11" s="33">
        <v>0</v>
      </c>
      <c r="EA11" s="33">
        <v>84.5</v>
      </c>
      <c r="EB11" s="34">
        <v>8.7595607372390638E-2</v>
      </c>
      <c r="EC11" s="32"/>
      <c r="ED11" s="32">
        <v>230</v>
      </c>
      <c r="EE11" s="32">
        <v>1361</v>
      </c>
      <c r="EF11" s="32"/>
      <c r="EG11" s="32"/>
      <c r="EH11" s="33"/>
      <c r="EI11" s="32">
        <v>1591</v>
      </c>
      <c r="EJ11" s="32">
        <v>8</v>
      </c>
      <c r="EK11" s="32">
        <v>133</v>
      </c>
      <c r="EL11" s="32">
        <v>141</v>
      </c>
      <c r="EM11" s="32">
        <v>123</v>
      </c>
      <c r="EN11" s="32">
        <v>10</v>
      </c>
      <c r="EO11" s="32">
        <v>14</v>
      </c>
      <c r="EP11" s="33">
        <v>31.39</v>
      </c>
      <c r="EQ11" s="33">
        <v>1.6</v>
      </c>
      <c r="ER11" s="33">
        <v>7</v>
      </c>
      <c r="ES11" s="33">
        <v>10.5</v>
      </c>
      <c r="ET11" s="33">
        <v>19.5</v>
      </c>
      <c r="EU11" s="33">
        <v>69.990000000000009</v>
      </c>
    </row>
    <row r="12" spans="1:151" ht="41.4" x14ac:dyDescent="0.3">
      <c r="A12" s="25">
        <v>11</v>
      </c>
      <c r="B12" s="26" t="s">
        <v>457</v>
      </c>
      <c r="C12" s="27" t="s">
        <v>657</v>
      </c>
      <c r="D12" s="27" t="s">
        <v>261</v>
      </c>
      <c r="E12" s="26" t="s">
        <v>504</v>
      </c>
      <c r="F12" s="26" t="s">
        <v>504</v>
      </c>
      <c r="G12" s="28">
        <v>205.7</v>
      </c>
      <c r="H12" s="28">
        <v>11.71111111111111</v>
      </c>
      <c r="I12" s="29">
        <v>88</v>
      </c>
      <c r="J12" s="29">
        <v>645</v>
      </c>
      <c r="K12" s="29">
        <v>239</v>
      </c>
      <c r="L12" s="29">
        <v>463</v>
      </c>
      <c r="M12" s="29">
        <v>1435</v>
      </c>
      <c r="N12" s="29">
        <v>1347</v>
      </c>
      <c r="O12" s="29">
        <v>972</v>
      </c>
      <c r="P12" s="29">
        <v>9</v>
      </c>
      <c r="Q12" s="27">
        <v>85.905555555555551</v>
      </c>
      <c r="R12" s="27">
        <v>102.46111111111111</v>
      </c>
      <c r="S12" s="27">
        <v>100.63333333333334</v>
      </c>
      <c r="T12" s="27">
        <v>100.81111111111112</v>
      </c>
      <c r="U12" s="27">
        <v>108.11666666666666</v>
      </c>
      <c r="V12" s="27">
        <v>104.60555555555555</v>
      </c>
      <c r="W12" s="27">
        <v>119.46666666666667</v>
      </c>
      <c r="X12" s="27">
        <v>116.2</v>
      </c>
      <c r="Y12" s="27">
        <v>124.42777777777778</v>
      </c>
      <c r="Z12" s="27">
        <v>118.96111111111111</v>
      </c>
      <c r="AA12" s="27">
        <v>115.62222222222222</v>
      </c>
      <c r="AB12" s="27">
        <v>103.99444444444444</v>
      </c>
      <c r="AC12" s="27">
        <v>107.36111111111111</v>
      </c>
      <c r="AD12" s="27">
        <v>636.09444444444443</v>
      </c>
      <c r="AE12" s="27">
        <v>240.62777777777779</v>
      </c>
      <c r="AF12" s="27">
        <v>445.93888888888887</v>
      </c>
      <c r="AG12" s="27">
        <v>962.62777777777785</v>
      </c>
      <c r="AH12" s="27">
        <v>1322.6611111111113</v>
      </c>
      <c r="AI12" s="27">
        <v>1408.5666666666668</v>
      </c>
      <c r="AJ12" s="28">
        <v>196.62222222222223</v>
      </c>
      <c r="AK12" s="28">
        <v>10.477777777777778</v>
      </c>
      <c r="AL12" s="28">
        <v>207.10000000000002</v>
      </c>
      <c r="AM12" s="29">
        <v>88</v>
      </c>
      <c r="AN12" s="35">
        <v>93</v>
      </c>
      <c r="AO12" s="27">
        <v>110</v>
      </c>
      <c r="AP12" s="27">
        <v>93</v>
      </c>
      <c r="AQ12" s="27">
        <v>98</v>
      </c>
      <c r="AR12" s="27">
        <v>110</v>
      </c>
      <c r="AS12" s="27">
        <v>107</v>
      </c>
      <c r="AT12" s="27">
        <v>129</v>
      </c>
      <c r="AU12" s="27">
        <v>116</v>
      </c>
      <c r="AV12" s="27">
        <v>129</v>
      </c>
      <c r="AW12" s="27">
        <v>117</v>
      </c>
      <c r="AX12" s="27">
        <v>109</v>
      </c>
      <c r="AY12" s="27">
        <v>98</v>
      </c>
      <c r="AZ12" s="27">
        <v>611</v>
      </c>
      <c r="BA12" s="27">
        <v>245</v>
      </c>
      <c r="BB12" s="27">
        <v>453</v>
      </c>
      <c r="BC12" s="27">
        <v>944</v>
      </c>
      <c r="BD12" s="27">
        <v>1309</v>
      </c>
      <c r="BE12" s="27">
        <v>1397</v>
      </c>
      <c r="BF12" s="27">
        <v>88</v>
      </c>
      <c r="BG12" s="27">
        <v>0</v>
      </c>
      <c r="BH12" s="27">
        <v>0</v>
      </c>
      <c r="BI12" s="27">
        <v>453</v>
      </c>
      <c r="BJ12" s="27">
        <v>189</v>
      </c>
      <c r="BK12" s="29">
        <v>12</v>
      </c>
      <c r="BL12" s="29">
        <v>201</v>
      </c>
      <c r="BM12" s="29">
        <v>117</v>
      </c>
      <c r="BN12" s="30">
        <v>8.4317964040401039E-2</v>
      </c>
      <c r="BO12" s="31">
        <v>90.744</v>
      </c>
      <c r="BP12" s="31">
        <v>86.244</v>
      </c>
      <c r="BQ12" s="31">
        <v>82.760999999999996</v>
      </c>
      <c r="BR12" s="31">
        <v>95.234499999999997</v>
      </c>
      <c r="BS12" s="32">
        <v>0</v>
      </c>
      <c r="BT12" s="32">
        <v>0</v>
      </c>
      <c r="BU12" s="33">
        <v>0</v>
      </c>
      <c r="BV12" s="33">
        <v>0.61666600000000005</v>
      </c>
      <c r="BW12" s="33">
        <v>82.788888</v>
      </c>
      <c r="BX12" s="33">
        <v>83.405555555555551</v>
      </c>
      <c r="BY12" s="33">
        <v>87.455555555555549</v>
      </c>
      <c r="BZ12" s="33">
        <v>105.25555555555556</v>
      </c>
      <c r="CA12" s="33">
        <v>92.794444444444451</v>
      </c>
      <c r="CB12" s="33">
        <v>96.266666666666666</v>
      </c>
      <c r="CC12" s="33">
        <v>110.95</v>
      </c>
      <c r="CD12" s="33">
        <v>102.58333333333333</v>
      </c>
      <c r="CE12" s="33">
        <v>127.46111111111111</v>
      </c>
      <c r="CF12" s="33">
        <v>112.73888888888889</v>
      </c>
      <c r="CG12" s="33">
        <v>126.55</v>
      </c>
      <c r="CH12" s="33">
        <v>119.04444444444445</v>
      </c>
      <c r="CI12" s="33">
        <v>109.43888888888888</v>
      </c>
      <c r="CJ12" s="33">
        <v>99.794444444444451</v>
      </c>
      <c r="CK12" s="33">
        <v>595.30555555555554</v>
      </c>
      <c r="CL12" s="33">
        <v>240.2</v>
      </c>
      <c r="CM12" s="33">
        <v>454.82777777777778</v>
      </c>
      <c r="CN12" s="33">
        <v>918.91111111111127</v>
      </c>
      <c r="CO12" s="33">
        <v>1290.3333333333333</v>
      </c>
      <c r="CP12" s="33">
        <v>1373.7388888888891</v>
      </c>
      <c r="CQ12" s="33">
        <v>181.21111111111099</v>
      </c>
      <c r="CR12" s="33">
        <v>15.311111111111099</v>
      </c>
      <c r="CS12" s="33">
        <v>196.5222222222221</v>
      </c>
      <c r="CT12" s="33">
        <v>0</v>
      </c>
      <c r="CU12" s="33">
        <v>67</v>
      </c>
      <c r="CV12" s="32">
        <v>0</v>
      </c>
      <c r="CW12" s="32">
        <v>67</v>
      </c>
      <c r="CX12" s="32">
        <v>92</v>
      </c>
      <c r="CY12" s="32">
        <v>90</v>
      </c>
      <c r="CZ12" s="32">
        <v>110</v>
      </c>
      <c r="DA12" s="32">
        <v>100</v>
      </c>
      <c r="DB12" s="32">
        <v>106</v>
      </c>
      <c r="DC12" s="32">
        <v>117</v>
      </c>
      <c r="DD12" s="32">
        <v>103</v>
      </c>
      <c r="DE12" s="32">
        <v>117</v>
      </c>
      <c r="DF12" s="32">
        <v>115</v>
      </c>
      <c r="DG12" s="32">
        <v>121</v>
      </c>
      <c r="DH12" s="32">
        <v>121</v>
      </c>
      <c r="DI12" s="32">
        <v>112</v>
      </c>
      <c r="DJ12" s="32">
        <v>615</v>
      </c>
      <c r="DK12" s="32">
        <v>220</v>
      </c>
      <c r="DL12" s="32">
        <v>469</v>
      </c>
      <c r="DM12" s="32">
        <v>902</v>
      </c>
      <c r="DN12" s="32">
        <v>1304</v>
      </c>
      <c r="DO12" s="32">
        <v>1371</v>
      </c>
      <c r="DP12" s="32">
        <v>0</v>
      </c>
      <c r="DQ12" s="32">
        <v>580</v>
      </c>
      <c r="DR12" s="32">
        <v>164</v>
      </c>
      <c r="DS12" s="32">
        <v>22</v>
      </c>
      <c r="DT12" s="32">
        <v>186</v>
      </c>
      <c r="DU12" s="32">
        <v>117</v>
      </c>
      <c r="DV12" s="33">
        <v>95.914000000000001</v>
      </c>
      <c r="DW12" s="33">
        <v>91.414000000000001</v>
      </c>
      <c r="DX12" s="33">
        <v>36.450000000000003</v>
      </c>
      <c r="DY12" s="33">
        <v>43.364000000000004</v>
      </c>
      <c r="DZ12" s="33">
        <v>0</v>
      </c>
      <c r="EA12" s="33">
        <v>101.0115</v>
      </c>
      <c r="EB12" s="34">
        <v>8.8095079737299131E-2</v>
      </c>
      <c r="EC12" s="32"/>
      <c r="ED12" s="32">
        <v>66</v>
      </c>
      <c r="EE12" s="32">
        <v>1276</v>
      </c>
      <c r="EF12" s="32"/>
      <c r="EG12" s="32"/>
      <c r="EH12" s="33"/>
      <c r="EI12" s="32">
        <v>1342</v>
      </c>
      <c r="EJ12" s="32">
        <v>29</v>
      </c>
      <c r="EK12" s="32">
        <v>198</v>
      </c>
      <c r="EL12" s="32">
        <v>227</v>
      </c>
      <c r="EM12" s="32">
        <v>171</v>
      </c>
      <c r="EN12" s="32">
        <v>27</v>
      </c>
      <c r="EO12" s="32">
        <v>22</v>
      </c>
      <c r="EP12" s="33">
        <v>30</v>
      </c>
      <c r="EQ12" s="33">
        <v>4</v>
      </c>
      <c r="ER12" s="33">
        <v>11</v>
      </c>
      <c r="ES12" s="33">
        <v>6</v>
      </c>
      <c r="ET12" s="33">
        <v>35</v>
      </c>
      <c r="EU12" s="33">
        <v>86</v>
      </c>
    </row>
    <row r="13" spans="1:151" ht="41.4" x14ac:dyDescent="0.3">
      <c r="A13" s="25">
        <v>12</v>
      </c>
      <c r="B13" s="26" t="s">
        <v>458</v>
      </c>
      <c r="C13" s="27" t="s">
        <v>658</v>
      </c>
      <c r="D13" s="27" t="s">
        <v>261</v>
      </c>
      <c r="E13" s="26" t="s">
        <v>504</v>
      </c>
      <c r="F13" s="26" t="s">
        <v>504</v>
      </c>
      <c r="G13" s="28">
        <v>6036.1</v>
      </c>
      <c r="H13" s="28">
        <v>1356.5666666666666</v>
      </c>
      <c r="I13" s="29">
        <v>3811</v>
      </c>
      <c r="J13" s="29">
        <v>25494</v>
      </c>
      <c r="K13" s="29">
        <v>9436</v>
      </c>
      <c r="L13" s="29">
        <v>20380</v>
      </c>
      <c r="M13" s="29">
        <v>59121</v>
      </c>
      <c r="N13" s="29">
        <v>55310</v>
      </c>
      <c r="O13" s="29">
        <v>38741</v>
      </c>
      <c r="P13" s="29">
        <v>1388</v>
      </c>
      <c r="Q13" s="27">
        <v>3659.1222222222223</v>
      </c>
      <c r="R13" s="27">
        <v>3996.65</v>
      </c>
      <c r="S13" s="27">
        <v>3965.5277777777778</v>
      </c>
      <c r="T13" s="27">
        <v>4144.3055555555557</v>
      </c>
      <c r="U13" s="27">
        <v>4299.5555555555557</v>
      </c>
      <c r="V13" s="27">
        <v>4149.4277777777779</v>
      </c>
      <c r="W13" s="27">
        <v>4244.7222222222226</v>
      </c>
      <c r="X13" s="27">
        <v>4441.5</v>
      </c>
      <c r="Y13" s="27">
        <v>4653.3999999999996</v>
      </c>
      <c r="Z13" s="27">
        <v>5039.25</v>
      </c>
      <c r="AA13" s="27">
        <v>5010</v>
      </c>
      <c r="AB13" s="27">
        <v>4659.2333333333336</v>
      </c>
      <c r="AC13" s="27">
        <v>3840.8611111111113</v>
      </c>
      <c r="AD13" s="27">
        <v>24800.18888888889</v>
      </c>
      <c r="AE13" s="27">
        <v>9094.9</v>
      </c>
      <c r="AF13" s="27">
        <v>18549.344444444447</v>
      </c>
      <c r="AG13" s="27">
        <v>37554.211111111108</v>
      </c>
      <c r="AH13" s="27">
        <v>52444.433333333334</v>
      </c>
      <c r="AI13" s="27">
        <v>56103.555555555547</v>
      </c>
      <c r="AJ13" s="28">
        <v>6121.1055555555558</v>
      </c>
      <c r="AK13" s="28">
        <v>1400.6055555555556</v>
      </c>
      <c r="AL13" s="28">
        <v>7521.7111111111117</v>
      </c>
      <c r="AM13" s="29">
        <v>3540</v>
      </c>
      <c r="AN13" s="35">
        <v>3956</v>
      </c>
      <c r="AO13" s="27">
        <v>4136</v>
      </c>
      <c r="AP13" s="27">
        <v>4117</v>
      </c>
      <c r="AQ13" s="27">
        <v>4185</v>
      </c>
      <c r="AR13" s="27">
        <v>4474</v>
      </c>
      <c r="AS13" s="27">
        <v>4303</v>
      </c>
      <c r="AT13" s="27">
        <v>4586</v>
      </c>
      <c r="AU13" s="27">
        <v>4655</v>
      </c>
      <c r="AV13" s="27">
        <v>5250</v>
      </c>
      <c r="AW13" s="27">
        <v>5226</v>
      </c>
      <c r="AX13" s="27">
        <v>5121</v>
      </c>
      <c r="AY13" s="27">
        <v>4763</v>
      </c>
      <c r="AZ13" s="27">
        <v>25171</v>
      </c>
      <c r="BA13" s="27">
        <v>9241</v>
      </c>
      <c r="BB13" s="27">
        <v>20360</v>
      </c>
      <c r="BC13" s="27">
        <v>37952</v>
      </c>
      <c r="BD13" s="27">
        <v>54772</v>
      </c>
      <c r="BE13" s="27">
        <v>58312</v>
      </c>
      <c r="BF13" s="27">
        <v>3477</v>
      </c>
      <c r="BG13" s="27">
        <v>63</v>
      </c>
      <c r="BH13" s="27">
        <v>20</v>
      </c>
      <c r="BI13" s="27">
        <v>29058</v>
      </c>
      <c r="BJ13" s="27">
        <v>6181</v>
      </c>
      <c r="BK13" s="29">
        <v>1405</v>
      </c>
      <c r="BL13" s="29">
        <v>7586</v>
      </c>
      <c r="BM13" s="29">
        <v>13759</v>
      </c>
      <c r="BN13" s="30">
        <v>9.6793861035683382E-2</v>
      </c>
      <c r="BO13" s="31">
        <v>3508.8790000000022</v>
      </c>
      <c r="BP13" s="31">
        <v>3352.8790000000022</v>
      </c>
      <c r="BQ13" s="31">
        <v>3119.1890000000017</v>
      </c>
      <c r="BR13" s="31">
        <v>3504.4930000000036</v>
      </c>
      <c r="BS13" s="32">
        <v>0</v>
      </c>
      <c r="BT13" s="32">
        <v>0</v>
      </c>
      <c r="BU13" s="33">
        <v>0</v>
      </c>
      <c r="BV13" s="33">
        <v>54.211111000000002</v>
      </c>
      <c r="BW13" s="33">
        <v>3448.1166659999999</v>
      </c>
      <c r="BX13" s="33">
        <v>3502.3277777777776</v>
      </c>
      <c r="BY13" s="33">
        <v>3885.0611111111111</v>
      </c>
      <c r="BZ13" s="33">
        <v>4092.55</v>
      </c>
      <c r="CA13" s="33">
        <v>4027.1888888888889</v>
      </c>
      <c r="CB13" s="33">
        <v>4124.3888888888887</v>
      </c>
      <c r="CC13" s="33">
        <v>4375.6555555555551</v>
      </c>
      <c r="CD13" s="33">
        <v>4166.8166666666666</v>
      </c>
      <c r="CE13" s="33">
        <v>4425.0388888888892</v>
      </c>
      <c r="CF13" s="33">
        <v>4491.666666666667</v>
      </c>
      <c r="CG13" s="33">
        <v>4960.3388888888885</v>
      </c>
      <c r="CH13" s="33">
        <v>4971.7666666666664</v>
      </c>
      <c r="CI13" s="33">
        <v>4833.2388888888891</v>
      </c>
      <c r="CJ13" s="33">
        <v>3752.0944444444444</v>
      </c>
      <c r="CK13" s="33">
        <v>24671.661111111109</v>
      </c>
      <c r="CL13" s="33">
        <v>8916.7055555555562</v>
      </c>
      <c r="CM13" s="33">
        <v>18517.438888888886</v>
      </c>
      <c r="CN13" s="33">
        <v>37090.694444444445</v>
      </c>
      <c r="CO13" s="33">
        <v>52105.805555555555</v>
      </c>
      <c r="CP13" s="33">
        <v>55608.133333333339</v>
      </c>
      <c r="CQ13" s="33">
        <v>6352.3555555555604</v>
      </c>
      <c r="CR13" s="33">
        <v>1421.3888888888901</v>
      </c>
      <c r="CS13" s="33">
        <v>7773.74444444445</v>
      </c>
      <c r="CT13" s="33">
        <v>0</v>
      </c>
      <c r="CU13" s="33">
        <v>3606</v>
      </c>
      <c r="CV13" s="32">
        <v>52</v>
      </c>
      <c r="CW13" s="32">
        <v>3658</v>
      </c>
      <c r="CX13" s="32">
        <v>3700</v>
      </c>
      <c r="CY13" s="32">
        <v>3961</v>
      </c>
      <c r="CZ13" s="32">
        <v>4173</v>
      </c>
      <c r="DA13" s="32">
        <v>4122</v>
      </c>
      <c r="DB13" s="32">
        <v>4164</v>
      </c>
      <c r="DC13" s="32">
        <v>4436</v>
      </c>
      <c r="DD13" s="32">
        <v>4359</v>
      </c>
      <c r="DE13" s="32">
        <v>4535</v>
      </c>
      <c r="DF13" s="32">
        <v>4993</v>
      </c>
      <c r="DG13" s="32">
        <v>5076</v>
      </c>
      <c r="DH13" s="32">
        <v>4986</v>
      </c>
      <c r="DI13" s="32">
        <v>4875</v>
      </c>
      <c r="DJ13" s="32">
        <v>24556</v>
      </c>
      <c r="DK13" s="32">
        <v>8894</v>
      </c>
      <c r="DL13" s="32">
        <v>19930</v>
      </c>
      <c r="DM13" s="32">
        <v>37108</v>
      </c>
      <c r="DN13" s="32">
        <v>53380</v>
      </c>
      <c r="DO13" s="32">
        <v>57038</v>
      </c>
      <c r="DP13" s="32">
        <v>2</v>
      </c>
      <c r="DQ13" s="32">
        <v>24087</v>
      </c>
      <c r="DR13" s="32">
        <v>5984</v>
      </c>
      <c r="DS13" s="32">
        <v>1311</v>
      </c>
      <c r="DT13" s="32">
        <v>7295</v>
      </c>
      <c r="DU13" s="32">
        <v>14536</v>
      </c>
      <c r="DV13" s="33">
        <v>3375.8480000000004</v>
      </c>
      <c r="DW13" s="33">
        <v>3208.848</v>
      </c>
      <c r="DX13" s="33">
        <v>1330.57</v>
      </c>
      <c r="DY13" s="33">
        <v>1187.8270000000002</v>
      </c>
      <c r="DZ13" s="33">
        <v>0</v>
      </c>
      <c r="EA13" s="33">
        <v>3444.4269999999997</v>
      </c>
      <c r="EB13" s="34">
        <v>9.795296823387134E-2</v>
      </c>
      <c r="EC13" s="32"/>
      <c r="ED13" s="32">
        <v>3591</v>
      </c>
      <c r="EE13" s="32">
        <v>52409</v>
      </c>
      <c r="EF13" s="32"/>
      <c r="EG13" s="32"/>
      <c r="EH13" s="33"/>
      <c r="EI13" s="32">
        <v>56000</v>
      </c>
      <c r="EJ13" s="32">
        <v>717</v>
      </c>
      <c r="EK13" s="32">
        <v>7356</v>
      </c>
      <c r="EL13" s="32">
        <v>8073</v>
      </c>
      <c r="EM13" s="32">
        <v>6024</v>
      </c>
      <c r="EN13" s="32">
        <v>1332</v>
      </c>
      <c r="EO13" s="32">
        <v>60</v>
      </c>
      <c r="EP13" s="33">
        <v>697.09400000000005</v>
      </c>
      <c r="EQ13" s="33">
        <v>60.371000000000002</v>
      </c>
      <c r="ER13" s="33">
        <v>214.58500000000001</v>
      </c>
      <c r="ES13" s="33">
        <v>212.81100000000001</v>
      </c>
      <c r="ET13" s="33">
        <v>993.46600000000001</v>
      </c>
      <c r="EU13" s="33">
        <v>2178.3270000000002</v>
      </c>
    </row>
    <row r="14" spans="1:151" ht="41.4" x14ac:dyDescent="0.3">
      <c r="A14" s="25">
        <v>13</v>
      </c>
      <c r="B14" s="26" t="s">
        <v>459</v>
      </c>
      <c r="C14" s="27" t="s">
        <v>659</v>
      </c>
      <c r="D14" s="27" t="s">
        <v>261</v>
      </c>
      <c r="E14" s="26" t="s">
        <v>504</v>
      </c>
      <c r="F14" s="26" t="s">
        <v>504</v>
      </c>
      <c r="G14" s="28">
        <v>1078.4388888888889</v>
      </c>
      <c r="H14" s="28">
        <v>118.63333333333334</v>
      </c>
      <c r="I14" s="29">
        <v>942</v>
      </c>
      <c r="J14" s="29">
        <v>6013</v>
      </c>
      <c r="K14" s="29">
        <v>1911</v>
      </c>
      <c r="L14" s="29">
        <v>3555</v>
      </c>
      <c r="M14" s="29">
        <v>12421</v>
      </c>
      <c r="N14" s="29">
        <v>11479</v>
      </c>
      <c r="O14" s="29">
        <v>8866</v>
      </c>
      <c r="P14" s="29">
        <v>116</v>
      </c>
      <c r="Q14" s="27">
        <v>941.35</v>
      </c>
      <c r="R14" s="27">
        <v>965.95555555555552</v>
      </c>
      <c r="S14" s="27">
        <v>1024.3666666666666</v>
      </c>
      <c r="T14" s="27">
        <v>1026.5611111111111</v>
      </c>
      <c r="U14" s="27">
        <v>1004.2611111111111</v>
      </c>
      <c r="V14" s="27">
        <v>965.75555555555559</v>
      </c>
      <c r="W14" s="27">
        <v>970.76666666666665</v>
      </c>
      <c r="X14" s="27">
        <v>981.85555555555561</v>
      </c>
      <c r="Y14" s="27">
        <v>889.62222222222226</v>
      </c>
      <c r="Z14" s="27">
        <v>926.42222222222222</v>
      </c>
      <c r="AA14" s="27">
        <v>914.88333333333333</v>
      </c>
      <c r="AB14" s="27">
        <v>836.36666666666667</v>
      </c>
      <c r="AC14" s="27">
        <v>724.05</v>
      </c>
      <c r="AD14" s="27">
        <v>5957.6666666666661</v>
      </c>
      <c r="AE14" s="27">
        <v>1871.4777777777779</v>
      </c>
      <c r="AF14" s="27">
        <v>3401.7222222222226</v>
      </c>
      <c r="AG14" s="27">
        <v>8770.4944444444445</v>
      </c>
      <c r="AH14" s="27">
        <v>11230.866666666665</v>
      </c>
      <c r="AI14" s="27">
        <v>12172.216666666665</v>
      </c>
      <c r="AJ14" s="28">
        <v>1126.0944444444444</v>
      </c>
      <c r="AK14" s="28">
        <v>119.98333333333333</v>
      </c>
      <c r="AL14" s="28">
        <v>1246.0777777777778</v>
      </c>
      <c r="AM14" s="29">
        <v>1051</v>
      </c>
      <c r="AN14" s="35">
        <v>1162</v>
      </c>
      <c r="AO14" s="27">
        <v>1194</v>
      </c>
      <c r="AP14" s="27">
        <v>1206</v>
      </c>
      <c r="AQ14" s="27">
        <v>1231</v>
      </c>
      <c r="AR14" s="27">
        <v>1194</v>
      </c>
      <c r="AS14" s="27">
        <v>1192</v>
      </c>
      <c r="AT14" s="27">
        <v>1173</v>
      </c>
      <c r="AU14" s="27">
        <v>1143</v>
      </c>
      <c r="AV14" s="27">
        <v>1024</v>
      </c>
      <c r="AW14" s="27">
        <v>1044</v>
      </c>
      <c r="AX14" s="27">
        <v>986</v>
      </c>
      <c r="AY14" s="27">
        <v>879</v>
      </c>
      <c r="AZ14" s="27">
        <v>7179</v>
      </c>
      <c r="BA14" s="27">
        <v>2316</v>
      </c>
      <c r="BB14" s="27">
        <v>3933</v>
      </c>
      <c r="BC14" s="27">
        <v>10546</v>
      </c>
      <c r="BD14" s="27">
        <v>13428</v>
      </c>
      <c r="BE14" s="27">
        <v>14479</v>
      </c>
      <c r="BF14" s="27">
        <v>1020</v>
      </c>
      <c r="BG14" s="27">
        <v>31</v>
      </c>
      <c r="BH14" s="27">
        <v>5</v>
      </c>
      <c r="BI14" s="27">
        <v>4447</v>
      </c>
      <c r="BJ14" s="27">
        <v>1160</v>
      </c>
      <c r="BK14" s="29">
        <v>156</v>
      </c>
      <c r="BL14" s="29">
        <v>1316</v>
      </c>
      <c r="BM14" s="29">
        <v>311</v>
      </c>
      <c r="BN14" s="30">
        <v>8.5992793393067202E-2</v>
      </c>
      <c r="BO14" s="31">
        <v>612.38199999999995</v>
      </c>
      <c r="BP14" s="31">
        <v>584.38200000000006</v>
      </c>
      <c r="BQ14" s="31">
        <v>549.13099999999997</v>
      </c>
      <c r="BR14" s="31">
        <v>604.88200000000018</v>
      </c>
      <c r="BS14" s="32">
        <v>0</v>
      </c>
      <c r="BT14" s="32">
        <v>0</v>
      </c>
      <c r="BU14" s="33">
        <v>0</v>
      </c>
      <c r="BV14" s="33">
        <v>27.644444</v>
      </c>
      <c r="BW14" s="33">
        <v>1006.1111110000001</v>
      </c>
      <c r="BX14" s="33">
        <v>1033.7555555555555</v>
      </c>
      <c r="BY14" s="33">
        <v>1147.4611111111112</v>
      </c>
      <c r="BZ14" s="33">
        <v>1169.3666666666666</v>
      </c>
      <c r="CA14" s="33">
        <v>1201.0722222222223</v>
      </c>
      <c r="CB14" s="33">
        <v>1221.8333333333333</v>
      </c>
      <c r="CC14" s="33">
        <v>1181.1055555555556</v>
      </c>
      <c r="CD14" s="33">
        <v>1160.0388888888888</v>
      </c>
      <c r="CE14" s="33">
        <v>1146.0222222222221</v>
      </c>
      <c r="CF14" s="33">
        <v>1120.6777777777777</v>
      </c>
      <c r="CG14" s="33">
        <v>1007.1944444444445</v>
      </c>
      <c r="CH14" s="33">
        <v>1002.4888888888889</v>
      </c>
      <c r="CI14" s="33">
        <v>952.07222222222219</v>
      </c>
      <c r="CJ14" s="33">
        <v>792.80555555555554</v>
      </c>
      <c r="CK14" s="33">
        <v>7080.8777777777777</v>
      </c>
      <c r="CL14" s="33">
        <v>2266.6999999999998</v>
      </c>
      <c r="CM14" s="33">
        <v>3754.5611111111111</v>
      </c>
      <c r="CN14" s="33">
        <v>10381.333333333332</v>
      </c>
      <c r="CO14" s="33">
        <v>13102.138888888889</v>
      </c>
      <c r="CP14" s="33">
        <v>14135.894444444444</v>
      </c>
      <c r="CQ14" s="33">
        <v>1156.8</v>
      </c>
      <c r="CR14" s="33">
        <v>158.73888888888899</v>
      </c>
      <c r="CS14" s="33">
        <v>1315.538888888889</v>
      </c>
      <c r="CT14" s="33">
        <v>0</v>
      </c>
      <c r="CU14" s="33">
        <v>963</v>
      </c>
      <c r="CV14" s="32">
        <v>24</v>
      </c>
      <c r="CW14" s="32">
        <v>987</v>
      </c>
      <c r="CX14" s="32">
        <v>996</v>
      </c>
      <c r="CY14" s="32">
        <v>1111</v>
      </c>
      <c r="CZ14" s="32">
        <v>1104</v>
      </c>
      <c r="DA14" s="32">
        <v>1144</v>
      </c>
      <c r="DB14" s="32">
        <v>1140</v>
      </c>
      <c r="DC14" s="32">
        <v>1139</v>
      </c>
      <c r="DD14" s="32">
        <v>1118</v>
      </c>
      <c r="DE14" s="32">
        <v>1115</v>
      </c>
      <c r="DF14" s="32">
        <v>1111</v>
      </c>
      <c r="DG14" s="32">
        <v>1025</v>
      </c>
      <c r="DH14" s="32">
        <v>986</v>
      </c>
      <c r="DI14" s="32">
        <v>907</v>
      </c>
      <c r="DJ14" s="32">
        <v>6634</v>
      </c>
      <c r="DK14" s="32">
        <v>2233</v>
      </c>
      <c r="DL14" s="32">
        <v>4029</v>
      </c>
      <c r="DM14" s="32">
        <v>9854</v>
      </c>
      <c r="DN14" s="32">
        <v>12896</v>
      </c>
      <c r="DO14" s="32">
        <v>13883</v>
      </c>
      <c r="DP14" s="32">
        <v>4</v>
      </c>
      <c r="DQ14" s="32">
        <v>4077</v>
      </c>
      <c r="DR14" s="32">
        <v>1140</v>
      </c>
      <c r="DS14" s="32">
        <v>162</v>
      </c>
      <c r="DT14" s="32">
        <v>1302</v>
      </c>
      <c r="DU14" s="32">
        <v>338</v>
      </c>
      <c r="DV14" s="33">
        <v>612.45999999999981</v>
      </c>
      <c r="DW14" s="33">
        <v>579.95999999999992</v>
      </c>
      <c r="DX14" s="33">
        <v>265.05500000000001</v>
      </c>
      <c r="DY14" s="33">
        <v>235.51400000000004</v>
      </c>
      <c r="DZ14" s="33">
        <v>2</v>
      </c>
      <c r="EA14" s="33">
        <v>654.29</v>
      </c>
      <c r="EB14" s="34">
        <v>8.2960046404242371E-2</v>
      </c>
      <c r="EC14" s="32"/>
      <c r="ED14" s="32">
        <v>960</v>
      </c>
      <c r="EE14" s="32">
        <v>12540</v>
      </c>
      <c r="EF14" s="32"/>
      <c r="EG14" s="32"/>
      <c r="EH14" s="33"/>
      <c r="EI14" s="32">
        <v>13500</v>
      </c>
      <c r="EJ14" s="32">
        <v>139</v>
      </c>
      <c r="EK14" s="32">
        <v>1300</v>
      </c>
      <c r="EL14" s="32">
        <v>1439</v>
      </c>
      <c r="EM14" s="32">
        <v>1144</v>
      </c>
      <c r="EN14" s="32">
        <v>156</v>
      </c>
      <c r="EO14" s="32">
        <v>135</v>
      </c>
      <c r="EP14" s="33">
        <v>268.88400000000001</v>
      </c>
      <c r="EQ14" s="33">
        <v>6.8449999999999998</v>
      </c>
      <c r="ER14" s="33">
        <v>46.923000000000002</v>
      </c>
      <c r="ES14" s="33">
        <v>17.922999999999998</v>
      </c>
      <c r="ET14" s="33">
        <v>154.745</v>
      </c>
      <c r="EU14" s="33">
        <v>495.32000000000005</v>
      </c>
    </row>
    <row r="15" spans="1:151" ht="27.6" x14ac:dyDescent="0.3">
      <c r="A15" s="25">
        <v>14</v>
      </c>
      <c r="B15" s="26" t="s">
        <v>460</v>
      </c>
      <c r="C15" s="27" t="s">
        <v>660</v>
      </c>
      <c r="D15" s="27" t="s">
        <v>261</v>
      </c>
      <c r="E15" s="26" t="s">
        <v>504</v>
      </c>
      <c r="F15" s="26" t="s">
        <v>504</v>
      </c>
      <c r="G15" s="28">
        <v>5749.55</v>
      </c>
      <c r="H15" s="28">
        <v>1178.6722222222222</v>
      </c>
      <c r="I15" s="29">
        <v>3616</v>
      </c>
      <c r="J15" s="29">
        <v>25095</v>
      </c>
      <c r="K15" s="29">
        <v>9273</v>
      </c>
      <c r="L15" s="29">
        <v>19845</v>
      </c>
      <c r="M15" s="29">
        <v>57829</v>
      </c>
      <c r="N15" s="29">
        <v>54213</v>
      </c>
      <c r="O15" s="29">
        <v>37984</v>
      </c>
      <c r="P15" s="29">
        <v>1210</v>
      </c>
      <c r="Q15" s="27">
        <v>3542.1222222222223</v>
      </c>
      <c r="R15" s="27">
        <v>3848.911111111111</v>
      </c>
      <c r="S15" s="27">
        <v>3943.9055555555556</v>
      </c>
      <c r="T15" s="27">
        <v>4056.3111111111111</v>
      </c>
      <c r="U15" s="27">
        <v>4286.1888888888889</v>
      </c>
      <c r="V15" s="27">
        <v>4174.95</v>
      </c>
      <c r="W15" s="27">
        <v>4408.0222222222219</v>
      </c>
      <c r="X15" s="27">
        <v>4517.6055555555558</v>
      </c>
      <c r="Y15" s="27">
        <v>4589.4555555555553</v>
      </c>
      <c r="Z15" s="27">
        <v>4742.1444444444442</v>
      </c>
      <c r="AA15" s="27">
        <v>4983.9944444444445</v>
      </c>
      <c r="AB15" s="27">
        <v>4862.333333333333</v>
      </c>
      <c r="AC15" s="27">
        <v>4111.7555555555555</v>
      </c>
      <c r="AD15" s="27">
        <v>24718.288888888888</v>
      </c>
      <c r="AE15" s="27">
        <v>9107.0611111111102</v>
      </c>
      <c r="AF15" s="27">
        <v>18700.227777777778</v>
      </c>
      <c r="AG15" s="27">
        <v>37367.472222222226</v>
      </c>
      <c r="AH15" s="27">
        <v>52525.577777777769</v>
      </c>
      <c r="AI15" s="27">
        <v>56067.7</v>
      </c>
      <c r="AJ15" s="28">
        <v>6044.1277777777777</v>
      </c>
      <c r="AK15" s="28">
        <v>1239.338888888889</v>
      </c>
      <c r="AL15" s="28">
        <v>7283.4666666666672</v>
      </c>
      <c r="AM15" s="29">
        <v>3191</v>
      </c>
      <c r="AN15" s="35">
        <v>3789</v>
      </c>
      <c r="AO15" s="27">
        <v>4001</v>
      </c>
      <c r="AP15" s="27">
        <v>4121</v>
      </c>
      <c r="AQ15" s="27">
        <v>4226</v>
      </c>
      <c r="AR15" s="27">
        <v>4458</v>
      </c>
      <c r="AS15" s="27">
        <v>4344</v>
      </c>
      <c r="AT15" s="27">
        <v>4640</v>
      </c>
      <c r="AU15" s="27">
        <v>4667</v>
      </c>
      <c r="AV15" s="27">
        <v>4597</v>
      </c>
      <c r="AW15" s="27">
        <v>5193</v>
      </c>
      <c r="AX15" s="27">
        <v>5132</v>
      </c>
      <c r="AY15" s="27">
        <v>5077</v>
      </c>
      <c r="AZ15" s="27">
        <v>24939</v>
      </c>
      <c r="BA15" s="27">
        <v>9307</v>
      </c>
      <c r="BB15" s="27">
        <v>19999</v>
      </c>
      <c r="BC15" s="27">
        <v>37437</v>
      </c>
      <c r="BD15" s="27">
        <v>54245</v>
      </c>
      <c r="BE15" s="27">
        <v>57436</v>
      </c>
      <c r="BF15" s="27">
        <v>1590</v>
      </c>
      <c r="BG15" s="27">
        <v>1601</v>
      </c>
      <c r="BH15" s="27">
        <v>31</v>
      </c>
      <c r="BI15" s="27">
        <v>13566</v>
      </c>
      <c r="BJ15" s="27">
        <v>6127</v>
      </c>
      <c r="BK15" s="29">
        <v>1289</v>
      </c>
      <c r="BL15" s="29">
        <v>7416</v>
      </c>
      <c r="BM15" s="29">
        <v>5035</v>
      </c>
      <c r="BN15" s="30">
        <v>8.3005126298126064E-2</v>
      </c>
      <c r="BO15" s="31">
        <v>3373.7270000000021</v>
      </c>
      <c r="BP15" s="31">
        <v>3196.4510000000023</v>
      </c>
      <c r="BQ15" s="31">
        <v>2888.9867000000008</v>
      </c>
      <c r="BR15" s="31">
        <v>3310.1370000000056</v>
      </c>
      <c r="BS15" s="32">
        <v>0</v>
      </c>
      <c r="BT15" s="32">
        <v>302</v>
      </c>
      <c r="BU15" s="33">
        <v>1704.6722219999999</v>
      </c>
      <c r="BV15" s="33">
        <v>1566.8444440000001</v>
      </c>
      <c r="BW15" s="33">
        <v>1556.005555</v>
      </c>
      <c r="BX15" s="33">
        <v>3122.85</v>
      </c>
      <c r="BY15" s="33">
        <v>3719.9722222222222</v>
      </c>
      <c r="BZ15" s="33">
        <v>3956</v>
      </c>
      <c r="CA15" s="33">
        <v>4074.4666666666667</v>
      </c>
      <c r="CB15" s="33">
        <v>4176.9111111111115</v>
      </c>
      <c r="CC15" s="33">
        <v>4385.95</v>
      </c>
      <c r="CD15" s="33">
        <v>4280.166666666667</v>
      </c>
      <c r="CE15" s="33">
        <v>4543.6944444444443</v>
      </c>
      <c r="CF15" s="33">
        <v>4587.083333333333</v>
      </c>
      <c r="CG15" s="33">
        <v>4531.1499999999996</v>
      </c>
      <c r="CH15" s="33">
        <v>5090.7055555555553</v>
      </c>
      <c r="CI15" s="33">
        <v>5003.8777777777777</v>
      </c>
      <c r="CJ15" s="33">
        <v>4229.0944444444449</v>
      </c>
      <c r="CK15" s="33">
        <v>24593.466666666671</v>
      </c>
      <c r="CL15" s="33">
        <v>9130.7777777777774</v>
      </c>
      <c r="CM15" s="33">
        <v>18854.827777777777</v>
      </c>
      <c r="CN15" s="33">
        <v>36847.094444444447</v>
      </c>
      <c r="CO15" s="33">
        <v>52579.072222222232</v>
      </c>
      <c r="CP15" s="33">
        <v>55701.922222222231</v>
      </c>
      <c r="CQ15" s="33">
        <v>6223.3388888888903</v>
      </c>
      <c r="CR15" s="33">
        <v>1301.38333333333</v>
      </c>
      <c r="CS15" s="33">
        <v>7524.7222222222208</v>
      </c>
      <c r="CT15" s="33">
        <v>1795</v>
      </c>
      <c r="CU15" s="33">
        <v>2311</v>
      </c>
      <c r="CV15" s="32">
        <v>940</v>
      </c>
      <c r="CW15" s="32">
        <v>3251</v>
      </c>
      <c r="CX15" s="32">
        <v>3385</v>
      </c>
      <c r="CY15" s="32">
        <v>3862</v>
      </c>
      <c r="CZ15" s="32">
        <v>4113</v>
      </c>
      <c r="DA15" s="32">
        <v>4194</v>
      </c>
      <c r="DB15" s="32">
        <v>4314</v>
      </c>
      <c r="DC15" s="32">
        <v>4547</v>
      </c>
      <c r="DD15" s="32">
        <v>4522</v>
      </c>
      <c r="DE15" s="32">
        <v>4734</v>
      </c>
      <c r="DF15" s="32">
        <v>4664</v>
      </c>
      <c r="DG15" s="32">
        <v>5034</v>
      </c>
      <c r="DH15" s="32">
        <v>5235</v>
      </c>
      <c r="DI15" s="32">
        <v>5228</v>
      </c>
      <c r="DJ15" s="32">
        <v>24415</v>
      </c>
      <c r="DK15" s="32">
        <v>9256</v>
      </c>
      <c r="DL15" s="32">
        <v>20161</v>
      </c>
      <c r="DM15" s="32">
        <v>36922</v>
      </c>
      <c r="DN15" s="32">
        <v>53832</v>
      </c>
      <c r="DO15" s="32">
        <v>57083</v>
      </c>
      <c r="DP15" s="32">
        <v>22</v>
      </c>
      <c r="DQ15" s="32">
        <v>14280</v>
      </c>
      <c r="DR15" s="32">
        <v>6420</v>
      </c>
      <c r="DS15" s="32">
        <v>1340</v>
      </c>
      <c r="DT15" s="32">
        <v>7760</v>
      </c>
      <c r="DU15" s="32">
        <v>5496</v>
      </c>
      <c r="DV15" s="33">
        <v>3363.3790000000017</v>
      </c>
      <c r="DW15" s="33">
        <v>3185.8790000000017</v>
      </c>
      <c r="DX15" s="33">
        <v>1381.1220000000001</v>
      </c>
      <c r="DY15" s="33">
        <v>1240.2019999999989</v>
      </c>
      <c r="DZ15" s="33">
        <v>1</v>
      </c>
      <c r="EA15" s="33">
        <v>3432.365000000003</v>
      </c>
      <c r="EB15" s="34">
        <v>8.2448795423533006E-2</v>
      </c>
      <c r="EC15" s="32"/>
      <c r="ED15" s="32">
        <v>3206</v>
      </c>
      <c r="EE15" s="32">
        <v>53094</v>
      </c>
      <c r="EF15" s="32"/>
      <c r="EG15" s="32"/>
      <c r="EH15" s="33"/>
      <c r="EI15" s="32">
        <v>56300</v>
      </c>
      <c r="EJ15" s="32">
        <v>898</v>
      </c>
      <c r="EK15" s="32">
        <v>7760</v>
      </c>
      <c r="EL15" s="32">
        <v>8658</v>
      </c>
      <c r="EM15" s="32">
        <v>6388</v>
      </c>
      <c r="EN15" s="32">
        <v>1372</v>
      </c>
      <c r="EO15" s="32">
        <v>291</v>
      </c>
      <c r="EP15" s="33">
        <v>909.1</v>
      </c>
      <c r="EQ15" s="33">
        <v>51.1</v>
      </c>
      <c r="ER15" s="33">
        <v>272.2</v>
      </c>
      <c r="ES15" s="33">
        <v>180.9</v>
      </c>
      <c r="ET15" s="33">
        <v>894.2</v>
      </c>
      <c r="EU15" s="33">
        <v>2307.5</v>
      </c>
    </row>
    <row r="16" spans="1:151" ht="27.6" x14ac:dyDescent="0.3">
      <c r="A16" s="25">
        <v>15</v>
      </c>
      <c r="B16" s="26" t="s">
        <v>461</v>
      </c>
      <c r="C16" s="27" t="s">
        <v>661</v>
      </c>
      <c r="D16" s="27" t="s">
        <v>261</v>
      </c>
      <c r="E16" s="26" t="s">
        <v>504</v>
      </c>
      <c r="F16" s="26" t="s">
        <v>504</v>
      </c>
      <c r="G16" s="28">
        <v>278.25</v>
      </c>
      <c r="H16" s="28">
        <v>47.083333333333336</v>
      </c>
      <c r="I16" s="29">
        <v>177</v>
      </c>
      <c r="J16" s="29">
        <v>1207</v>
      </c>
      <c r="K16" s="29">
        <v>431</v>
      </c>
      <c r="L16" s="29">
        <v>890</v>
      </c>
      <c r="M16" s="29">
        <v>2705</v>
      </c>
      <c r="N16" s="29">
        <v>2528</v>
      </c>
      <c r="O16" s="29">
        <v>1815</v>
      </c>
      <c r="P16" s="29">
        <v>36</v>
      </c>
      <c r="Q16" s="27">
        <v>176.23888888888888</v>
      </c>
      <c r="R16" s="27">
        <v>203.92777777777778</v>
      </c>
      <c r="S16" s="27">
        <v>185.36666666666667</v>
      </c>
      <c r="T16" s="27">
        <v>204.97777777777779</v>
      </c>
      <c r="U16" s="27">
        <v>180.70555555555555</v>
      </c>
      <c r="V16" s="27">
        <v>217.07777777777778</v>
      </c>
      <c r="W16" s="27">
        <v>208.63888888888889</v>
      </c>
      <c r="X16" s="27">
        <v>204.57777777777778</v>
      </c>
      <c r="Y16" s="27">
        <v>216.99444444444444</v>
      </c>
      <c r="Z16" s="27">
        <v>231.51666666666668</v>
      </c>
      <c r="AA16" s="27">
        <v>223.72777777777779</v>
      </c>
      <c r="AB16" s="27">
        <v>220.11111111111111</v>
      </c>
      <c r="AC16" s="27">
        <v>112.15555555555555</v>
      </c>
      <c r="AD16" s="27">
        <v>1200.6944444444443</v>
      </c>
      <c r="AE16" s="27">
        <v>421.57222222222219</v>
      </c>
      <c r="AF16" s="27">
        <v>787.51111111111118</v>
      </c>
      <c r="AG16" s="27">
        <v>1798.5055555555555</v>
      </c>
      <c r="AH16" s="27">
        <v>2409.7777777777778</v>
      </c>
      <c r="AI16" s="27">
        <v>2586.0166666666669</v>
      </c>
      <c r="AJ16" s="28">
        <v>294.32777777777778</v>
      </c>
      <c r="AK16" s="28">
        <v>37.06666666666667</v>
      </c>
      <c r="AL16" s="28">
        <v>331.39444444444445</v>
      </c>
      <c r="AM16" s="29">
        <v>192</v>
      </c>
      <c r="AN16" s="35">
        <v>180</v>
      </c>
      <c r="AO16" s="27">
        <v>203</v>
      </c>
      <c r="AP16" s="27">
        <v>186</v>
      </c>
      <c r="AQ16" s="27">
        <v>204</v>
      </c>
      <c r="AR16" s="27">
        <v>185</v>
      </c>
      <c r="AS16" s="27">
        <v>228</v>
      </c>
      <c r="AT16" s="27">
        <v>207</v>
      </c>
      <c r="AU16" s="27">
        <v>213</v>
      </c>
      <c r="AV16" s="27">
        <v>228</v>
      </c>
      <c r="AW16" s="27">
        <v>235</v>
      </c>
      <c r="AX16" s="27">
        <v>211</v>
      </c>
      <c r="AY16" s="27">
        <v>214</v>
      </c>
      <c r="AZ16" s="27">
        <v>1186</v>
      </c>
      <c r="BA16" s="27">
        <v>420</v>
      </c>
      <c r="BB16" s="27">
        <v>888</v>
      </c>
      <c r="BC16" s="27">
        <v>1798</v>
      </c>
      <c r="BD16" s="27">
        <v>2494</v>
      </c>
      <c r="BE16" s="27">
        <v>2686</v>
      </c>
      <c r="BF16" s="27">
        <v>184</v>
      </c>
      <c r="BG16" s="27">
        <v>8</v>
      </c>
      <c r="BH16" s="27">
        <v>0</v>
      </c>
      <c r="BI16" s="27">
        <v>682</v>
      </c>
      <c r="BJ16" s="27">
        <v>295</v>
      </c>
      <c r="BK16" s="29">
        <v>32</v>
      </c>
      <c r="BL16" s="29">
        <v>327</v>
      </c>
      <c r="BM16" s="29">
        <v>0</v>
      </c>
      <c r="BN16" s="30">
        <v>7.8334678229308563E-2</v>
      </c>
      <c r="BO16" s="31">
        <v>151.87299999999999</v>
      </c>
      <c r="BP16" s="31">
        <v>144.87300000000002</v>
      </c>
      <c r="BQ16" s="31">
        <v>139.71000000000004</v>
      </c>
      <c r="BR16" s="31">
        <v>151.97299999999998</v>
      </c>
      <c r="BS16" s="32">
        <v>0</v>
      </c>
      <c r="BT16" s="32">
        <v>0</v>
      </c>
      <c r="BU16" s="33">
        <v>0</v>
      </c>
      <c r="BV16" s="33">
        <v>5</v>
      </c>
      <c r="BW16" s="33">
        <v>190.227777</v>
      </c>
      <c r="BX16" s="33">
        <v>195.22777777777779</v>
      </c>
      <c r="BY16" s="33">
        <v>182.73888888888888</v>
      </c>
      <c r="BZ16" s="33">
        <v>203.44444444444446</v>
      </c>
      <c r="CA16" s="33">
        <v>186.53333333333333</v>
      </c>
      <c r="CB16" s="33">
        <v>204.72222222222223</v>
      </c>
      <c r="CC16" s="33">
        <v>186.60555555555555</v>
      </c>
      <c r="CD16" s="33">
        <v>225.5611111111111</v>
      </c>
      <c r="CE16" s="33">
        <v>207.30555555555554</v>
      </c>
      <c r="CF16" s="33">
        <v>212.16666666666666</v>
      </c>
      <c r="CG16" s="33">
        <v>221.70555555555555</v>
      </c>
      <c r="CH16" s="33">
        <v>229.16666666666666</v>
      </c>
      <c r="CI16" s="33">
        <v>208.87777777777777</v>
      </c>
      <c r="CJ16" s="33">
        <v>121.47777777777777</v>
      </c>
      <c r="CK16" s="33">
        <v>1189.6055555555556</v>
      </c>
      <c r="CL16" s="33">
        <v>419.47222222222217</v>
      </c>
      <c r="CM16" s="33">
        <v>781.22777777777776</v>
      </c>
      <c r="CN16" s="33">
        <v>1804.3055555555559</v>
      </c>
      <c r="CO16" s="33">
        <v>2390.3055555555552</v>
      </c>
      <c r="CP16" s="33">
        <v>2585.5333333333333</v>
      </c>
      <c r="CQ16" s="33">
        <v>294.24444444444401</v>
      </c>
      <c r="CR16" s="33">
        <v>32.061111111111103</v>
      </c>
      <c r="CS16" s="33">
        <v>326.30555555555509</v>
      </c>
      <c r="CT16" s="33">
        <v>0</v>
      </c>
      <c r="CU16" s="33">
        <v>159</v>
      </c>
      <c r="CV16" s="32">
        <v>12</v>
      </c>
      <c r="CW16" s="32">
        <v>171</v>
      </c>
      <c r="CX16" s="32">
        <v>202</v>
      </c>
      <c r="CY16" s="32">
        <v>187</v>
      </c>
      <c r="CZ16" s="32">
        <v>217</v>
      </c>
      <c r="DA16" s="32">
        <v>188</v>
      </c>
      <c r="DB16" s="32">
        <v>215</v>
      </c>
      <c r="DC16" s="32">
        <v>187</v>
      </c>
      <c r="DD16" s="32">
        <v>231</v>
      </c>
      <c r="DE16" s="32">
        <v>211</v>
      </c>
      <c r="DF16" s="32">
        <v>226</v>
      </c>
      <c r="DG16" s="32">
        <v>230</v>
      </c>
      <c r="DH16" s="32">
        <v>236</v>
      </c>
      <c r="DI16" s="32">
        <v>204</v>
      </c>
      <c r="DJ16" s="32">
        <v>1196</v>
      </c>
      <c r="DK16" s="32">
        <v>442</v>
      </c>
      <c r="DL16" s="32">
        <v>896</v>
      </c>
      <c r="DM16" s="32">
        <v>1809</v>
      </c>
      <c r="DN16" s="32">
        <v>2534</v>
      </c>
      <c r="DO16" s="32">
        <v>2705</v>
      </c>
      <c r="DP16" s="32">
        <v>2</v>
      </c>
      <c r="DQ16" s="32">
        <v>647</v>
      </c>
      <c r="DR16" s="32">
        <v>301</v>
      </c>
      <c r="DS16" s="32">
        <v>37</v>
      </c>
      <c r="DT16" s="32">
        <v>338</v>
      </c>
      <c r="DU16" s="32">
        <v>45</v>
      </c>
      <c r="DV16" s="33">
        <v>151.41900000000001</v>
      </c>
      <c r="DW16" s="33">
        <v>144.41900000000001</v>
      </c>
      <c r="DX16" s="33">
        <v>67.814999999999998</v>
      </c>
      <c r="DY16" s="33">
        <v>57.675000000000004</v>
      </c>
      <c r="DZ16" s="33">
        <v>0</v>
      </c>
      <c r="EA16" s="33">
        <v>153.41899999999998</v>
      </c>
      <c r="EB16" s="34">
        <v>7.7578695567924072E-2</v>
      </c>
      <c r="EC16" s="32"/>
      <c r="ED16" s="32">
        <v>165</v>
      </c>
      <c r="EE16" s="32">
        <v>2449</v>
      </c>
      <c r="EF16" s="32"/>
      <c r="EG16" s="32"/>
      <c r="EH16" s="33"/>
      <c r="EI16" s="32">
        <v>2614</v>
      </c>
      <c r="EJ16" s="32">
        <v>35</v>
      </c>
      <c r="EK16" s="32">
        <v>341</v>
      </c>
      <c r="EL16" s="32">
        <v>376</v>
      </c>
      <c r="EM16" s="32">
        <v>304</v>
      </c>
      <c r="EN16" s="32">
        <v>37</v>
      </c>
      <c r="EO16" s="32">
        <v>26</v>
      </c>
      <c r="EP16" s="33">
        <v>65</v>
      </c>
      <c r="EQ16" s="33">
        <v>3.5</v>
      </c>
      <c r="ER16" s="33">
        <v>11</v>
      </c>
      <c r="ES16" s="33">
        <v>10</v>
      </c>
      <c r="ET16" s="33">
        <v>52.5</v>
      </c>
      <c r="EU16" s="33">
        <v>142</v>
      </c>
    </row>
    <row r="17" spans="1:151" ht="41.4" x14ac:dyDescent="0.3">
      <c r="A17" s="25">
        <v>16</v>
      </c>
      <c r="B17" s="26" t="s">
        <v>462</v>
      </c>
      <c r="C17" s="27" t="s">
        <v>662</v>
      </c>
      <c r="D17" s="27" t="s">
        <v>261</v>
      </c>
      <c r="E17" s="26" t="s">
        <v>504</v>
      </c>
      <c r="F17" s="26" t="s">
        <v>504</v>
      </c>
      <c r="G17" s="28">
        <v>143.18333333333334</v>
      </c>
      <c r="H17" s="28">
        <v>17.677777777777777</v>
      </c>
      <c r="I17" s="29">
        <v>106</v>
      </c>
      <c r="J17" s="29">
        <v>637</v>
      </c>
      <c r="K17" s="29">
        <v>241</v>
      </c>
      <c r="L17" s="29">
        <v>440</v>
      </c>
      <c r="M17" s="29">
        <v>1424</v>
      </c>
      <c r="N17" s="29">
        <v>1318</v>
      </c>
      <c r="O17" s="29">
        <v>984</v>
      </c>
      <c r="P17" s="29">
        <v>19</v>
      </c>
      <c r="Q17" s="27">
        <v>102.81111111111112</v>
      </c>
      <c r="R17" s="27">
        <v>126.23888888888889</v>
      </c>
      <c r="S17" s="27">
        <v>90.38333333333334</v>
      </c>
      <c r="T17" s="27">
        <v>112.76111111111111</v>
      </c>
      <c r="U17" s="27">
        <v>101.36666666666666</v>
      </c>
      <c r="V17" s="27">
        <v>107.41666666666667</v>
      </c>
      <c r="W17" s="27">
        <v>95.177777777777777</v>
      </c>
      <c r="X17" s="27">
        <v>111.11666666666666</v>
      </c>
      <c r="Y17" s="27">
        <v>123.45555555555555</v>
      </c>
      <c r="Z17" s="27">
        <v>117.44444444444444</v>
      </c>
      <c r="AA17" s="27">
        <v>110.26111111111111</v>
      </c>
      <c r="AB17" s="27">
        <v>102.27777777777777</v>
      </c>
      <c r="AC17" s="27">
        <v>99.388888888888886</v>
      </c>
      <c r="AD17" s="27">
        <v>633.34444444444443</v>
      </c>
      <c r="AE17" s="27">
        <v>234.57222222222219</v>
      </c>
      <c r="AF17" s="27">
        <v>429.37222222222226</v>
      </c>
      <c r="AG17" s="27">
        <v>970.72777777777776</v>
      </c>
      <c r="AH17" s="27">
        <v>1297.288888888889</v>
      </c>
      <c r="AI17" s="27">
        <v>1400.1000000000001</v>
      </c>
      <c r="AJ17" s="28">
        <v>152.30555555555554</v>
      </c>
      <c r="AK17" s="28">
        <v>17.866666666666667</v>
      </c>
      <c r="AL17" s="28">
        <v>170.17222222222222</v>
      </c>
      <c r="AM17" s="29">
        <v>100</v>
      </c>
      <c r="AN17" s="35">
        <v>102</v>
      </c>
      <c r="AO17" s="27">
        <v>129</v>
      </c>
      <c r="AP17" s="27">
        <v>97</v>
      </c>
      <c r="AQ17" s="27">
        <v>120</v>
      </c>
      <c r="AR17" s="27">
        <v>102</v>
      </c>
      <c r="AS17" s="27">
        <v>112</v>
      </c>
      <c r="AT17" s="27">
        <v>97</v>
      </c>
      <c r="AU17" s="27">
        <v>111</v>
      </c>
      <c r="AV17" s="27">
        <v>123</v>
      </c>
      <c r="AW17" s="27">
        <v>121</v>
      </c>
      <c r="AX17" s="27">
        <v>112</v>
      </c>
      <c r="AY17" s="27">
        <v>100</v>
      </c>
      <c r="AZ17" s="27">
        <v>662</v>
      </c>
      <c r="BA17" s="27">
        <v>208</v>
      </c>
      <c r="BB17" s="27">
        <v>456</v>
      </c>
      <c r="BC17" s="27">
        <v>970</v>
      </c>
      <c r="BD17" s="27">
        <v>1326</v>
      </c>
      <c r="BE17" s="27">
        <v>1426</v>
      </c>
      <c r="BF17" s="27">
        <v>88</v>
      </c>
      <c r="BG17" s="27">
        <v>12</v>
      </c>
      <c r="BH17" s="27">
        <v>2</v>
      </c>
      <c r="BI17" s="27">
        <v>529</v>
      </c>
      <c r="BJ17" s="27">
        <v>165</v>
      </c>
      <c r="BK17" s="29">
        <v>19</v>
      </c>
      <c r="BL17" s="29">
        <v>184</v>
      </c>
      <c r="BM17" s="29">
        <v>20</v>
      </c>
      <c r="BN17" s="30">
        <v>8.9502427184466105E-2</v>
      </c>
      <c r="BO17" s="31">
        <v>84.2</v>
      </c>
      <c r="BP17" s="31">
        <v>79.900000000000006</v>
      </c>
      <c r="BQ17" s="31">
        <v>76.300000000000011</v>
      </c>
      <c r="BR17" s="31">
        <v>83.2</v>
      </c>
      <c r="BS17" s="32">
        <v>0</v>
      </c>
      <c r="BT17" s="32">
        <v>0</v>
      </c>
      <c r="BU17" s="33">
        <v>0</v>
      </c>
      <c r="BV17" s="33">
        <v>6.2111109999999998</v>
      </c>
      <c r="BW17" s="33">
        <v>91.055554999999998</v>
      </c>
      <c r="BX17" s="33">
        <v>97.266666666666666</v>
      </c>
      <c r="BY17" s="33">
        <v>101.63333333333334</v>
      </c>
      <c r="BZ17" s="33">
        <v>122.96111111111111</v>
      </c>
      <c r="CA17" s="33">
        <v>96.055555555555557</v>
      </c>
      <c r="CB17" s="33">
        <v>120.3</v>
      </c>
      <c r="CC17" s="33">
        <v>101.68888888888888</v>
      </c>
      <c r="CD17" s="33">
        <v>109.4</v>
      </c>
      <c r="CE17" s="33">
        <v>93.566666666666663</v>
      </c>
      <c r="CF17" s="33">
        <v>106.66111111111111</v>
      </c>
      <c r="CG17" s="33">
        <v>116.79444444444445</v>
      </c>
      <c r="CH17" s="33">
        <v>112.96666666666667</v>
      </c>
      <c r="CI17" s="33">
        <v>108.60555555555555</v>
      </c>
      <c r="CJ17" s="33">
        <v>94.927777777777777</v>
      </c>
      <c r="CK17" s="33">
        <v>652.03888888888889</v>
      </c>
      <c r="CL17" s="33">
        <v>200.22777777777776</v>
      </c>
      <c r="CM17" s="33">
        <v>433.29444444444448</v>
      </c>
      <c r="CN17" s="33">
        <v>949.53333333333319</v>
      </c>
      <c r="CO17" s="33">
        <v>1285.5611111111111</v>
      </c>
      <c r="CP17" s="33">
        <v>1382.8277777777776</v>
      </c>
      <c r="CQ17" s="33">
        <v>161.28333333333299</v>
      </c>
      <c r="CR17" s="33">
        <v>17.6111111111111</v>
      </c>
      <c r="CS17" s="33">
        <v>178.8944444444441</v>
      </c>
      <c r="CT17" s="33">
        <v>0</v>
      </c>
      <c r="CU17" s="33">
        <v>93</v>
      </c>
      <c r="CV17" s="32">
        <v>6</v>
      </c>
      <c r="CW17" s="32">
        <v>99</v>
      </c>
      <c r="CX17" s="32">
        <v>97</v>
      </c>
      <c r="CY17" s="32">
        <v>102</v>
      </c>
      <c r="CZ17" s="32">
        <v>124</v>
      </c>
      <c r="DA17" s="32">
        <v>98</v>
      </c>
      <c r="DB17" s="32">
        <v>113</v>
      </c>
      <c r="DC17" s="32">
        <v>104</v>
      </c>
      <c r="DD17" s="32">
        <v>121</v>
      </c>
      <c r="DE17" s="32">
        <v>95</v>
      </c>
      <c r="DF17" s="32">
        <v>117</v>
      </c>
      <c r="DG17" s="32">
        <v>123</v>
      </c>
      <c r="DH17" s="32">
        <v>110</v>
      </c>
      <c r="DI17" s="32">
        <v>105</v>
      </c>
      <c r="DJ17" s="32">
        <v>638</v>
      </c>
      <c r="DK17" s="32">
        <v>216</v>
      </c>
      <c r="DL17" s="32">
        <v>455</v>
      </c>
      <c r="DM17" s="32">
        <v>953</v>
      </c>
      <c r="DN17" s="32">
        <v>1309</v>
      </c>
      <c r="DO17" s="32">
        <v>1408</v>
      </c>
      <c r="DP17" s="32">
        <v>3</v>
      </c>
      <c r="DQ17" s="32">
        <v>496</v>
      </c>
      <c r="DR17" s="32">
        <v>161</v>
      </c>
      <c r="DS17" s="32">
        <v>16</v>
      </c>
      <c r="DT17" s="32">
        <v>177</v>
      </c>
      <c r="DU17" s="32">
        <v>21</v>
      </c>
      <c r="DV17" s="33">
        <v>85.425000000000011</v>
      </c>
      <c r="DW17" s="33">
        <v>80.825000000000017</v>
      </c>
      <c r="DX17" s="33">
        <v>36.629999999999995</v>
      </c>
      <c r="DY17" s="33">
        <v>34.954000000000001</v>
      </c>
      <c r="DZ17" s="33">
        <v>0</v>
      </c>
      <c r="EA17" s="33">
        <v>85.775000000000006</v>
      </c>
      <c r="EB17" s="34">
        <v>9.2458432304038107E-2</v>
      </c>
      <c r="EC17" s="32"/>
      <c r="ED17" s="32">
        <v>97</v>
      </c>
      <c r="EE17" s="32">
        <v>1288</v>
      </c>
      <c r="EF17" s="32"/>
      <c r="EG17" s="32"/>
      <c r="EH17" s="33"/>
      <c r="EI17" s="32">
        <v>1385</v>
      </c>
      <c r="EJ17" s="32">
        <v>14</v>
      </c>
      <c r="EK17" s="32">
        <v>173</v>
      </c>
      <c r="EL17" s="32">
        <v>187</v>
      </c>
      <c r="EM17" s="32">
        <v>155</v>
      </c>
      <c r="EN17" s="32">
        <v>18</v>
      </c>
      <c r="EO17" s="32">
        <v>16</v>
      </c>
      <c r="EP17" s="33">
        <v>59</v>
      </c>
      <c r="EQ17" s="33">
        <v>4</v>
      </c>
      <c r="ER17" s="33">
        <v>9</v>
      </c>
      <c r="ES17" s="33">
        <v>1</v>
      </c>
      <c r="ET17" s="33">
        <v>35</v>
      </c>
      <c r="EU17" s="33">
        <v>108</v>
      </c>
    </row>
    <row r="18" spans="1:151" ht="41.4" x14ac:dyDescent="0.3">
      <c r="A18" s="25">
        <v>17</v>
      </c>
      <c r="B18" s="26" t="s">
        <v>463</v>
      </c>
      <c r="C18" s="27" t="s">
        <v>663</v>
      </c>
      <c r="D18" s="27" t="s">
        <v>261</v>
      </c>
      <c r="E18" s="26" t="s">
        <v>504</v>
      </c>
      <c r="F18" s="26" t="s">
        <v>504</v>
      </c>
      <c r="G18" s="28">
        <v>413.47222222222223</v>
      </c>
      <c r="H18" s="28">
        <v>33.527777777777779</v>
      </c>
      <c r="I18" s="29">
        <v>222</v>
      </c>
      <c r="J18" s="29">
        <v>1428</v>
      </c>
      <c r="K18" s="29">
        <v>497</v>
      </c>
      <c r="L18" s="29">
        <v>973</v>
      </c>
      <c r="M18" s="29">
        <v>3120</v>
      </c>
      <c r="N18" s="29">
        <v>2898</v>
      </c>
      <c r="O18" s="29">
        <v>2147</v>
      </c>
      <c r="P18" s="29">
        <v>36</v>
      </c>
      <c r="Q18" s="27">
        <v>223.07777777777778</v>
      </c>
      <c r="R18" s="27">
        <v>245.72777777777779</v>
      </c>
      <c r="S18" s="27">
        <v>225.03333333333333</v>
      </c>
      <c r="T18" s="27">
        <v>241.57777777777778</v>
      </c>
      <c r="U18" s="27">
        <v>237.9388888888889</v>
      </c>
      <c r="V18" s="27">
        <v>226.57777777777778</v>
      </c>
      <c r="W18" s="27">
        <v>226.60555555555555</v>
      </c>
      <c r="X18" s="27">
        <v>231.8111111111111</v>
      </c>
      <c r="Y18" s="27">
        <v>253.35555555555555</v>
      </c>
      <c r="Z18" s="27">
        <v>272.2</v>
      </c>
      <c r="AA18" s="27">
        <v>220.37777777777777</v>
      </c>
      <c r="AB18" s="27">
        <v>245.28333333333333</v>
      </c>
      <c r="AC18" s="27">
        <v>210.07222222222222</v>
      </c>
      <c r="AD18" s="27">
        <v>1403.4611111111112</v>
      </c>
      <c r="AE18" s="27">
        <v>485.16666666666663</v>
      </c>
      <c r="AF18" s="27">
        <v>947.93333333333328</v>
      </c>
      <c r="AG18" s="27">
        <v>2111.7055555555557</v>
      </c>
      <c r="AH18" s="27">
        <v>2836.5611111111111</v>
      </c>
      <c r="AI18" s="27">
        <v>3059.6388888888887</v>
      </c>
      <c r="AJ18" s="28">
        <v>441.50555555555553</v>
      </c>
      <c r="AK18" s="28">
        <v>37.56111111111111</v>
      </c>
      <c r="AL18" s="28">
        <v>479.06666666666666</v>
      </c>
      <c r="AM18" s="29">
        <v>212</v>
      </c>
      <c r="AN18" s="35">
        <v>229</v>
      </c>
      <c r="AO18" s="27">
        <v>246</v>
      </c>
      <c r="AP18" s="27">
        <v>228</v>
      </c>
      <c r="AQ18" s="27">
        <v>247</v>
      </c>
      <c r="AR18" s="27">
        <v>242</v>
      </c>
      <c r="AS18" s="27">
        <v>232</v>
      </c>
      <c r="AT18" s="27">
        <v>228</v>
      </c>
      <c r="AU18" s="27">
        <v>230</v>
      </c>
      <c r="AV18" s="27">
        <v>266</v>
      </c>
      <c r="AW18" s="27">
        <v>282</v>
      </c>
      <c r="AX18" s="27">
        <v>221</v>
      </c>
      <c r="AY18" s="27">
        <v>246</v>
      </c>
      <c r="AZ18" s="27">
        <v>1424</v>
      </c>
      <c r="BA18" s="27">
        <v>458</v>
      </c>
      <c r="BB18" s="27">
        <v>1015</v>
      </c>
      <c r="BC18" s="27">
        <v>2094</v>
      </c>
      <c r="BD18" s="27">
        <v>2897</v>
      </c>
      <c r="BE18" s="27">
        <v>3109</v>
      </c>
      <c r="BF18" s="27">
        <v>203</v>
      </c>
      <c r="BG18" s="27">
        <v>9</v>
      </c>
      <c r="BH18" s="27">
        <v>0</v>
      </c>
      <c r="BI18" s="27">
        <v>1439</v>
      </c>
      <c r="BJ18" s="27">
        <v>454</v>
      </c>
      <c r="BK18" s="29">
        <v>37</v>
      </c>
      <c r="BL18" s="29">
        <v>491</v>
      </c>
      <c r="BM18" s="29">
        <v>228</v>
      </c>
      <c r="BN18" s="30">
        <v>8.766580727629214E-2</v>
      </c>
      <c r="BO18" s="31">
        <v>188.232</v>
      </c>
      <c r="BP18" s="31">
        <v>178.24200000000002</v>
      </c>
      <c r="BQ18" s="31">
        <v>172.31799999999998</v>
      </c>
      <c r="BR18" s="31">
        <v>189.51199999999997</v>
      </c>
      <c r="BS18" s="32">
        <v>0</v>
      </c>
      <c r="BT18" s="32">
        <v>0</v>
      </c>
      <c r="BU18" s="33">
        <v>0</v>
      </c>
      <c r="BV18" s="33">
        <v>4</v>
      </c>
      <c r="BW18" s="33">
        <v>211.088888</v>
      </c>
      <c r="BX18" s="33">
        <v>215.0888888888889</v>
      </c>
      <c r="BY18" s="33">
        <v>228.01666666666668</v>
      </c>
      <c r="BZ18" s="33">
        <v>245.04444444444445</v>
      </c>
      <c r="CA18" s="33">
        <v>227.98888888888888</v>
      </c>
      <c r="CB18" s="33">
        <v>246.01111111111112</v>
      </c>
      <c r="CC18" s="33">
        <v>242.40555555555557</v>
      </c>
      <c r="CD18" s="33">
        <v>230.14444444444445</v>
      </c>
      <c r="CE18" s="33">
        <v>226.47777777777779</v>
      </c>
      <c r="CF18" s="33">
        <v>230.35</v>
      </c>
      <c r="CG18" s="33">
        <v>258.92777777777781</v>
      </c>
      <c r="CH18" s="33">
        <v>272.09444444444443</v>
      </c>
      <c r="CI18" s="33">
        <v>216.02777777777777</v>
      </c>
      <c r="CJ18" s="33">
        <v>222.01111111111112</v>
      </c>
      <c r="CK18" s="33">
        <v>1419.6111111111111</v>
      </c>
      <c r="CL18" s="33">
        <v>456.82777777777778</v>
      </c>
      <c r="CM18" s="33">
        <v>969.06111111111113</v>
      </c>
      <c r="CN18" s="33">
        <v>2091.5277777777778</v>
      </c>
      <c r="CO18" s="33">
        <v>2845.5</v>
      </c>
      <c r="CP18" s="33">
        <v>3060.588888888889</v>
      </c>
      <c r="CQ18" s="33">
        <v>457.91111111111098</v>
      </c>
      <c r="CR18" s="33">
        <v>35.616666666666703</v>
      </c>
      <c r="CS18" s="33">
        <v>493.52777777777771</v>
      </c>
      <c r="CT18" s="33">
        <v>0</v>
      </c>
      <c r="CU18" s="33">
        <v>182</v>
      </c>
      <c r="CV18" s="32">
        <v>7</v>
      </c>
      <c r="CW18" s="32">
        <v>189</v>
      </c>
      <c r="CX18" s="32">
        <v>217</v>
      </c>
      <c r="CY18" s="32">
        <v>234</v>
      </c>
      <c r="CZ18" s="32">
        <v>244</v>
      </c>
      <c r="DA18" s="32">
        <v>230</v>
      </c>
      <c r="DB18" s="32">
        <v>247</v>
      </c>
      <c r="DC18" s="32">
        <v>246</v>
      </c>
      <c r="DD18" s="32">
        <v>235</v>
      </c>
      <c r="DE18" s="32">
        <v>240</v>
      </c>
      <c r="DF18" s="32">
        <v>237</v>
      </c>
      <c r="DG18" s="32">
        <v>257</v>
      </c>
      <c r="DH18" s="32">
        <v>277</v>
      </c>
      <c r="DI18" s="32">
        <v>211</v>
      </c>
      <c r="DJ18" s="32">
        <v>1418</v>
      </c>
      <c r="DK18" s="32">
        <v>475</v>
      </c>
      <c r="DL18" s="32">
        <v>982</v>
      </c>
      <c r="DM18" s="32">
        <v>2082</v>
      </c>
      <c r="DN18" s="32">
        <v>2875</v>
      </c>
      <c r="DO18" s="32">
        <v>3064</v>
      </c>
      <c r="DP18" s="32">
        <v>0</v>
      </c>
      <c r="DQ18" s="32">
        <v>1301</v>
      </c>
      <c r="DR18" s="32">
        <v>444</v>
      </c>
      <c r="DS18" s="32">
        <v>35</v>
      </c>
      <c r="DT18" s="32">
        <v>479</v>
      </c>
      <c r="DU18" s="32">
        <v>220</v>
      </c>
      <c r="DV18" s="33">
        <v>189.83700000000002</v>
      </c>
      <c r="DW18" s="33">
        <v>179.89699999999999</v>
      </c>
      <c r="DX18" s="33">
        <v>87.44</v>
      </c>
      <c r="DY18" s="33">
        <v>73.152000000000044</v>
      </c>
      <c r="DZ18" s="33">
        <v>0</v>
      </c>
      <c r="EA18" s="33">
        <v>194.67699999999999</v>
      </c>
      <c r="EB18" s="34">
        <v>8.8130486047425849E-2</v>
      </c>
      <c r="EC18" s="32"/>
      <c r="ED18" s="32">
        <v>189</v>
      </c>
      <c r="EE18" s="32">
        <v>2882</v>
      </c>
      <c r="EF18" s="32"/>
      <c r="EG18" s="32"/>
      <c r="EH18" s="33"/>
      <c r="EI18" s="32">
        <v>3071</v>
      </c>
      <c r="EJ18" s="32">
        <v>48</v>
      </c>
      <c r="EK18" s="32">
        <v>482</v>
      </c>
      <c r="EL18" s="32">
        <v>530</v>
      </c>
      <c r="EM18" s="32">
        <v>447</v>
      </c>
      <c r="EN18" s="32">
        <v>35</v>
      </c>
      <c r="EO18" s="32">
        <v>180</v>
      </c>
      <c r="EP18" s="33">
        <v>92.07</v>
      </c>
      <c r="EQ18" s="33">
        <v>5.59</v>
      </c>
      <c r="ER18" s="33">
        <v>11.22</v>
      </c>
      <c r="ES18" s="33">
        <v>11.5</v>
      </c>
      <c r="ET18" s="33">
        <v>74.56</v>
      </c>
      <c r="EU18" s="33">
        <v>194.94</v>
      </c>
    </row>
    <row r="19" spans="1:151" ht="41.4" x14ac:dyDescent="0.3">
      <c r="A19" s="25">
        <v>18</v>
      </c>
      <c r="B19" s="26" t="s">
        <v>464</v>
      </c>
      <c r="C19" s="27" t="s">
        <v>664</v>
      </c>
      <c r="D19" s="27" t="s">
        <v>261</v>
      </c>
      <c r="E19" s="26" t="s">
        <v>504</v>
      </c>
      <c r="F19" s="26" t="s">
        <v>504</v>
      </c>
      <c r="G19" s="28">
        <v>328.44444444444446</v>
      </c>
      <c r="H19" s="28">
        <v>27.216666666666665</v>
      </c>
      <c r="I19" s="29">
        <v>167</v>
      </c>
      <c r="J19" s="29">
        <v>1414</v>
      </c>
      <c r="K19" s="29">
        <v>561</v>
      </c>
      <c r="L19" s="29">
        <v>1148</v>
      </c>
      <c r="M19" s="29">
        <v>3290</v>
      </c>
      <c r="N19" s="29">
        <v>3123</v>
      </c>
      <c r="O19" s="29">
        <v>2142</v>
      </c>
      <c r="P19" s="29">
        <v>27</v>
      </c>
      <c r="Q19" s="27">
        <v>169</v>
      </c>
      <c r="R19" s="27">
        <v>212.91666666666666</v>
      </c>
      <c r="S19" s="27">
        <v>225.1</v>
      </c>
      <c r="T19" s="27">
        <v>209.85555555555555</v>
      </c>
      <c r="U19" s="27">
        <v>251.07777777777778</v>
      </c>
      <c r="V19" s="27">
        <v>242.61111111111111</v>
      </c>
      <c r="W19" s="27">
        <v>260.58333333333331</v>
      </c>
      <c r="X19" s="27">
        <v>260.07222222222219</v>
      </c>
      <c r="Y19" s="27">
        <v>291.09444444444443</v>
      </c>
      <c r="Z19" s="27">
        <v>278.05555555555554</v>
      </c>
      <c r="AA19" s="27">
        <v>299.52222222222224</v>
      </c>
      <c r="AB19" s="27">
        <v>275.76666666666665</v>
      </c>
      <c r="AC19" s="27">
        <v>270.05555555555554</v>
      </c>
      <c r="AD19" s="27">
        <v>1402.1444444444444</v>
      </c>
      <c r="AE19" s="27">
        <v>551.16666666666663</v>
      </c>
      <c r="AF19" s="27">
        <v>1123.4000000000001</v>
      </c>
      <c r="AG19" s="27">
        <v>2122.3111111111111</v>
      </c>
      <c r="AH19" s="27">
        <v>3076.7111111111117</v>
      </c>
      <c r="AI19" s="27">
        <v>3245.7111111111117</v>
      </c>
      <c r="AJ19" s="28">
        <v>336.43888888888887</v>
      </c>
      <c r="AK19" s="28">
        <v>31.016666666666666</v>
      </c>
      <c r="AL19" s="28">
        <v>367.45555555555552</v>
      </c>
      <c r="AM19" s="29">
        <v>195</v>
      </c>
      <c r="AN19" s="35">
        <v>169</v>
      </c>
      <c r="AO19" s="27">
        <v>212</v>
      </c>
      <c r="AP19" s="27">
        <v>228</v>
      </c>
      <c r="AQ19" s="27">
        <v>211</v>
      </c>
      <c r="AR19" s="27">
        <v>255</v>
      </c>
      <c r="AS19" s="27">
        <v>240</v>
      </c>
      <c r="AT19" s="27">
        <v>261</v>
      </c>
      <c r="AU19" s="27">
        <v>263</v>
      </c>
      <c r="AV19" s="27">
        <v>301</v>
      </c>
      <c r="AW19" s="27">
        <v>278</v>
      </c>
      <c r="AX19" s="27">
        <v>303</v>
      </c>
      <c r="AY19" s="27">
        <v>265</v>
      </c>
      <c r="AZ19" s="27">
        <v>1315</v>
      </c>
      <c r="BA19" s="27">
        <v>524</v>
      </c>
      <c r="BB19" s="27">
        <v>1147</v>
      </c>
      <c r="BC19" s="27">
        <v>2034</v>
      </c>
      <c r="BD19" s="27">
        <v>2986</v>
      </c>
      <c r="BE19" s="27">
        <v>3181</v>
      </c>
      <c r="BF19" s="27">
        <v>188</v>
      </c>
      <c r="BG19" s="27">
        <v>7</v>
      </c>
      <c r="BH19" s="27">
        <v>0</v>
      </c>
      <c r="BI19" s="27">
        <v>325</v>
      </c>
      <c r="BJ19" s="27">
        <v>332</v>
      </c>
      <c r="BK19" s="29">
        <v>32</v>
      </c>
      <c r="BL19" s="29">
        <v>364</v>
      </c>
      <c r="BM19" s="29">
        <v>0</v>
      </c>
      <c r="BN19" s="30">
        <v>8.3458194345709891E-2</v>
      </c>
      <c r="BO19" s="31">
        <v>196.64</v>
      </c>
      <c r="BP19" s="31">
        <v>187.64</v>
      </c>
      <c r="BQ19" s="31">
        <v>182.56</v>
      </c>
      <c r="BR19" s="31">
        <v>195.15999999999988</v>
      </c>
      <c r="BS19" s="32">
        <v>0</v>
      </c>
      <c r="BT19" s="32">
        <v>0</v>
      </c>
      <c r="BU19" s="33">
        <v>47.016666000000001</v>
      </c>
      <c r="BV19" s="33">
        <v>8.3611109999999993</v>
      </c>
      <c r="BW19" s="33">
        <v>184.23333299999999</v>
      </c>
      <c r="BX19" s="33">
        <v>192.59444444444443</v>
      </c>
      <c r="BY19" s="33">
        <v>164.83333333333334</v>
      </c>
      <c r="BZ19" s="33">
        <v>211.48888888888888</v>
      </c>
      <c r="CA19" s="33">
        <v>224.51666666666668</v>
      </c>
      <c r="CB19" s="33">
        <v>210.60555555555555</v>
      </c>
      <c r="CC19" s="33">
        <v>250.9111111111111</v>
      </c>
      <c r="CD19" s="33">
        <v>239.92777777777778</v>
      </c>
      <c r="CE19" s="33">
        <v>260.48333333333335</v>
      </c>
      <c r="CF19" s="33">
        <v>259.53888888888889</v>
      </c>
      <c r="CG19" s="33">
        <v>295.21111111111111</v>
      </c>
      <c r="CH19" s="33">
        <v>273.56666666666666</v>
      </c>
      <c r="CI19" s="33">
        <v>301.06111111111113</v>
      </c>
      <c r="CJ19" s="33">
        <v>262.70555555555558</v>
      </c>
      <c r="CK19" s="33">
        <v>1302.2833333333331</v>
      </c>
      <c r="CL19" s="33">
        <v>520.02222222222224</v>
      </c>
      <c r="CM19" s="33">
        <v>1132.5444444444445</v>
      </c>
      <c r="CN19" s="33">
        <v>2014.9</v>
      </c>
      <c r="CO19" s="33">
        <v>2954.85</v>
      </c>
      <c r="CP19" s="33">
        <v>3147.4444444444448</v>
      </c>
      <c r="CQ19" s="33">
        <v>323.14999999999998</v>
      </c>
      <c r="CR19" s="33">
        <v>36.044444444444402</v>
      </c>
      <c r="CS19" s="33">
        <v>359.1944444444444</v>
      </c>
      <c r="CT19" s="33">
        <v>0</v>
      </c>
      <c r="CU19" s="33">
        <v>171</v>
      </c>
      <c r="CV19" s="32">
        <v>0</v>
      </c>
      <c r="CW19" s="32">
        <v>171</v>
      </c>
      <c r="CX19" s="32">
        <v>195</v>
      </c>
      <c r="CY19" s="32">
        <v>166</v>
      </c>
      <c r="CZ19" s="32">
        <v>219</v>
      </c>
      <c r="DA19" s="32">
        <v>229</v>
      </c>
      <c r="DB19" s="32">
        <v>221</v>
      </c>
      <c r="DC19" s="32">
        <v>259</v>
      </c>
      <c r="DD19" s="32">
        <v>246</v>
      </c>
      <c r="DE19" s="32">
        <v>264</v>
      </c>
      <c r="DF19" s="32">
        <v>277</v>
      </c>
      <c r="DG19" s="32">
        <v>290</v>
      </c>
      <c r="DH19" s="32">
        <v>279</v>
      </c>
      <c r="DI19" s="32">
        <v>294</v>
      </c>
      <c r="DJ19" s="32">
        <v>1289</v>
      </c>
      <c r="DK19" s="32">
        <v>510</v>
      </c>
      <c r="DL19" s="32">
        <v>1140</v>
      </c>
      <c r="DM19" s="32">
        <v>1970</v>
      </c>
      <c r="DN19" s="32">
        <v>2939</v>
      </c>
      <c r="DO19" s="32">
        <v>3110</v>
      </c>
      <c r="DP19" s="32">
        <v>0</v>
      </c>
      <c r="DQ19" s="32">
        <v>243</v>
      </c>
      <c r="DR19" s="32">
        <v>317</v>
      </c>
      <c r="DS19" s="32">
        <v>28</v>
      </c>
      <c r="DT19" s="32">
        <v>345</v>
      </c>
      <c r="DU19" s="32">
        <v>0</v>
      </c>
      <c r="DV19" s="33">
        <v>193.47500000000002</v>
      </c>
      <c r="DW19" s="33">
        <v>184.47500000000002</v>
      </c>
      <c r="DX19" s="33">
        <v>87.39500000000001</v>
      </c>
      <c r="DY19" s="33">
        <v>75.335000000000008</v>
      </c>
      <c r="DZ19" s="33">
        <v>0.8</v>
      </c>
      <c r="EA19" s="33">
        <v>198.52500000000001</v>
      </c>
      <c r="EB19" s="34">
        <v>8.5938132591093008E-2</v>
      </c>
      <c r="EC19" s="32"/>
      <c r="ED19" s="32">
        <v>166</v>
      </c>
      <c r="EE19" s="32">
        <v>2851</v>
      </c>
      <c r="EF19" s="32"/>
      <c r="EG19" s="32"/>
      <c r="EH19" s="33"/>
      <c r="EI19" s="32">
        <v>3017</v>
      </c>
      <c r="EJ19" s="32">
        <v>42</v>
      </c>
      <c r="EK19" s="32">
        <v>338</v>
      </c>
      <c r="EL19" s="32">
        <v>380</v>
      </c>
      <c r="EM19" s="32">
        <v>312</v>
      </c>
      <c r="EN19" s="32">
        <v>26</v>
      </c>
      <c r="EO19" s="32">
        <v>95</v>
      </c>
      <c r="EP19" s="33">
        <v>51.55</v>
      </c>
      <c r="EQ19" s="33">
        <v>4.16</v>
      </c>
      <c r="ER19" s="33">
        <v>14.86</v>
      </c>
      <c r="ES19" s="33">
        <v>1.48</v>
      </c>
      <c r="ET19" s="33">
        <v>53.58</v>
      </c>
      <c r="EU19" s="33">
        <v>125.63</v>
      </c>
    </row>
    <row r="20" spans="1:151" ht="27.6" x14ac:dyDescent="0.3">
      <c r="A20" s="25">
        <v>19</v>
      </c>
      <c r="B20" s="26" t="s">
        <v>465</v>
      </c>
      <c r="C20" s="27" t="s">
        <v>665</v>
      </c>
      <c r="D20" s="27" t="s">
        <v>261</v>
      </c>
      <c r="E20" s="26" t="s">
        <v>504</v>
      </c>
      <c r="F20" s="26" t="s">
        <v>504</v>
      </c>
      <c r="G20" s="28">
        <v>3635.838888888889</v>
      </c>
      <c r="H20" s="28">
        <v>823.62222222222226</v>
      </c>
      <c r="I20" s="29">
        <v>2561</v>
      </c>
      <c r="J20" s="29">
        <v>16322</v>
      </c>
      <c r="K20" s="29">
        <v>5638</v>
      </c>
      <c r="L20" s="29">
        <v>11708</v>
      </c>
      <c r="M20" s="29">
        <v>36229</v>
      </c>
      <c r="N20" s="29">
        <v>33668</v>
      </c>
      <c r="O20" s="29">
        <v>24521</v>
      </c>
      <c r="P20" s="29">
        <v>838</v>
      </c>
      <c r="Q20" s="27">
        <v>2499.3166666666666</v>
      </c>
      <c r="R20" s="27">
        <v>2628.5333333333333</v>
      </c>
      <c r="S20" s="27">
        <v>2667.2111111111112</v>
      </c>
      <c r="T20" s="27">
        <v>2646.6722222222224</v>
      </c>
      <c r="U20" s="27">
        <v>2669.65</v>
      </c>
      <c r="V20" s="27">
        <v>2671.05</v>
      </c>
      <c r="W20" s="27">
        <v>2822.5222222222224</v>
      </c>
      <c r="X20" s="27">
        <v>2700.9555555555557</v>
      </c>
      <c r="Y20" s="27">
        <v>2831.8722222222223</v>
      </c>
      <c r="Z20" s="27">
        <v>2926.8166666666666</v>
      </c>
      <c r="AA20" s="27">
        <v>2915.1555555555556</v>
      </c>
      <c r="AB20" s="27">
        <v>2754.35</v>
      </c>
      <c r="AC20" s="27">
        <v>2408.1055555555554</v>
      </c>
      <c r="AD20" s="27">
        <v>16105.638888888891</v>
      </c>
      <c r="AE20" s="27">
        <v>5532.8277777777785</v>
      </c>
      <c r="AF20" s="27">
        <v>11004.427777777779</v>
      </c>
      <c r="AG20" s="27">
        <v>24137.783333333333</v>
      </c>
      <c r="AH20" s="27">
        <v>32642.894444444442</v>
      </c>
      <c r="AI20" s="27">
        <v>35142.211111111108</v>
      </c>
      <c r="AJ20" s="28">
        <v>3827.9333333333334</v>
      </c>
      <c r="AK20" s="28">
        <v>836.05</v>
      </c>
      <c r="AL20" s="28">
        <v>4663.9833333333336</v>
      </c>
      <c r="AM20" s="29">
        <v>3114</v>
      </c>
      <c r="AN20" s="35">
        <v>3279</v>
      </c>
      <c r="AO20" s="27">
        <v>3426</v>
      </c>
      <c r="AP20" s="27">
        <v>3450</v>
      </c>
      <c r="AQ20" s="27">
        <v>3447</v>
      </c>
      <c r="AR20" s="27">
        <v>3411</v>
      </c>
      <c r="AS20" s="27">
        <v>3454</v>
      </c>
      <c r="AT20" s="27">
        <v>3536</v>
      </c>
      <c r="AU20" s="27">
        <v>3329</v>
      </c>
      <c r="AV20" s="27">
        <v>3376</v>
      </c>
      <c r="AW20" s="27">
        <v>3413</v>
      </c>
      <c r="AX20" s="27">
        <v>3323</v>
      </c>
      <c r="AY20" s="27">
        <v>3114</v>
      </c>
      <c r="AZ20" s="27">
        <v>20467</v>
      </c>
      <c r="BA20" s="27">
        <v>6865</v>
      </c>
      <c r="BB20" s="27">
        <v>13226</v>
      </c>
      <c r="BC20" s="27">
        <v>30446</v>
      </c>
      <c r="BD20" s="27">
        <v>40558</v>
      </c>
      <c r="BE20" s="27">
        <v>43672</v>
      </c>
      <c r="BF20" s="27">
        <v>1655</v>
      </c>
      <c r="BG20" s="27">
        <v>1459</v>
      </c>
      <c r="BH20" s="27">
        <v>14</v>
      </c>
      <c r="BI20" s="27">
        <v>10187</v>
      </c>
      <c r="BJ20" s="27">
        <v>4300</v>
      </c>
      <c r="BK20" s="29">
        <v>833</v>
      </c>
      <c r="BL20" s="29">
        <v>5133</v>
      </c>
      <c r="BM20" s="29">
        <v>1459</v>
      </c>
      <c r="BN20" s="30">
        <v>8.8001981129798679E-2</v>
      </c>
      <c r="BO20" s="31">
        <v>2015.5030000000006</v>
      </c>
      <c r="BP20" s="31">
        <v>1946.5030000000006</v>
      </c>
      <c r="BQ20" s="31">
        <v>1774.4265000000005</v>
      </c>
      <c r="BR20" s="31">
        <v>1957.2279999999996</v>
      </c>
      <c r="BS20" s="32">
        <v>0</v>
      </c>
      <c r="BT20" s="32">
        <v>6040</v>
      </c>
      <c r="BU20" s="33">
        <v>2271.638888</v>
      </c>
      <c r="BV20" s="33">
        <v>1479.277777</v>
      </c>
      <c r="BW20" s="33">
        <v>1594.1777770000001</v>
      </c>
      <c r="BX20" s="33">
        <v>3073.4555555555557</v>
      </c>
      <c r="BY20" s="33">
        <v>3238.4666666666667</v>
      </c>
      <c r="BZ20" s="33">
        <v>3363.8444444444444</v>
      </c>
      <c r="CA20" s="33">
        <v>3417.8166666666666</v>
      </c>
      <c r="CB20" s="33">
        <v>3417.2</v>
      </c>
      <c r="CC20" s="33">
        <v>3382.088888888889</v>
      </c>
      <c r="CD20" s="33">
        <v>3424.1222222222223</v>
      </c>
      <c r="CE20" s="33">
        <v>3483.2611111111109</v>
      </c>
      <c r="CF20" s="33">
        <v>3279.3777777777777</v>
      </c>
      <c r="CG20" s="33">
        <v>3306.3611111111113</v>
      </c>
      <c r="CH20" s="33">
        <v>3312.0222222222224</v>
      </c>
      <c r="CI20" s="33">
        <v>3146.3777777777777</v>
      </c>
      <c r="CJ20" s="33">
        <v>2727.1333333333332</v>
      </c>
      <c r="CK20" s="33">
        <v>20243.538888888885</v>
      </c>
      <c r="CL20" s="33">
        <v>6762.6388888888887</v>
      </c>
      <c r="CM20" s="33">
        <v>12491.894444444444</v>
      </c>
      <c r="CN20" s="33">
        <v>30079.633333333331</v>
      </c>
      <c r="CO20" s="33">
        <v>39498.072222222218</v>
      </c>
      <c r="CP20" s="33">
        <v>42571.527777777774</v>
      </c>
      <c r="CQ20" s="33">
        <v>4315.3611111111104</v>
      </c>
      <c r="CR20" s="33">
        <v>809.37222222222204</v>
      </c>
      <c r="CS20" s="33">
        <v>5124.7333333333327</v>
      </c>
      <c r="CT20" s="33">
        <v>8686.9611110000005</v>
      </c>
      <c r="CU20" s="33">
        <v>2573</v>
      </c>
      <c r="CV20" s="32">
        <v>576</v>
      </c>
      <c r="CW20" s="32">
        <v>3149</v>
      </c>
      <c r="CX20" s="32">
        <v>3105</v>
      </c>
      <c r="CY20" s="32">
        <v>3240</v>
      </c>
      <c r="CZ20" s="32">
        <v>3356</v>
      </c>
      <c r="DA20" s="32">
        <v>3402</v>
      </c>
      <c r="DB20" s="32">
        <v>3406</v>
      </c>
      <c r="DC20" s="32">
        <v>3341</v>
      </c>
      <c r="DD20" s="32">
        <v>3346</v>
      </c>
      <c r="DE20" s="32">
        <v>3491</v>
      </c>
      <c r="DF20" s="32">
        <v>3229</v>
      </c>
      <c r="DG20" s="32">
        <v>3337</v>
      </c>
      <c r="DH20" s="32">
        <v>3341</v>
      </c>
      <c r="DI20" s="32">
        <v>3203</v>
      </c>
      <c r="DJ20" s="32">
        <v>19850</v>
      </c>
      <c r="DK20" s="32">
        <v>6837</v>
      </c>
      <c r="DL20" s="32">
        <v>13110</v>
      </c>
      <c r="DM20" s="32">
        <v>29836</v>
      </c>
      <c r="DN20" s="32">
        <v>39797</v>
      </c>
      <c r="DO20" s="32">
        <v>42946</v>
      </c>
      <c r="DP20" s="32">
        <v>11</v>
      </c>
      <c r="DQ20" s="32">
        <v>9525</v>
      </c>
      <c r="DR20" s="32">
        <v>4394</v>
      </c>
      <c r="DS20" s="32">
        <v>836</v>
      </c>
      <c r="DT20" s="32">
        <v>5230</v>
      </c>
      <c r="DU20" s="32">
        <v>1728</v>
      </c>
      <c r="DV20" s="33">
        <v>2060.5079999999989</v>
      </c>
      <c r="DW20" s="33">
        <v>1987.8379999999993</v>
      </c>
      <c r="DX20" s="33">
        <v>824.64300000000014</v>
      </c>
      <c r="DY20" s="33">
        <v>746.51199999999983</v>
      </c>
      <c r="DZ20" s="33">
        <v>5.4329999999999998</v>
      </c>
      <c r="EA20" s="33">
        <v>2086.0269999999991</v>
      </c>
      <c r="EB20" s="34">
        <v>8.8272501212234844E-2</v>
      </c>
      <c r="EC20" s="32"/>
      <c r="ED20" s="32">
        <v>3080</v>
      </c>
      <c r="EE20" s="32">
        <v>38920</v>
      </c>
      <c r="EF20" s="32"/>
      <c r="EG20" s="32"/>
      <c r="EH20" s="33"/>
      <c r="EI20" s="32">
        <v>42000</v>
      </c>
      <c r="EJ20" s="32">
        <v>552</v>
      </c>
      <c r="EK20" s="32">
        <v>5178</v>
      </c>
      <c r="EL20" s="32">
        <v>5730</v>
      </c>
      <c r="EM20" s="32">
        <v>4354</v>
      </c>
      <c r="EN20" s="32">
        <v>824</v>
      </c>
      <c r="EO20" s="32">
        <v>230</v>
      </c>
      <c r="EP20" s="33">
        <v>529.35400000000004</v>
      </c>
      <c r="EQ20" s="33">
        <v>19.242000000000001</v>
      </c>
      <c r="ER20" s="33">
        <v>166.40899999999999</v>
      </c>
      <c r="ES20" s="33">
        <v>82.32</v>
      </c>
      <c r="ET20" s="33">
        <v>567.91399999999999</v>
      </c>
      <c r="EU20" s="33">
        <v>1365.239</v>
      </c>
    </row>
    <row r="21" spans="1:151" ht="55.2" x14ac:dyDescent="0.3">
      <c r="A21" s="25">
        <v>20</v>
      </c>
      <c r="B21" s="26" t="s">
        <v>466</v>
      </c>
      <c r="C21" s="27" t="s">
        <v>666</v>
      </c>
      <c r="D21" s="27" t="s">
        <v>261</v>
      </c>
      <c r="E21" s="26" t="s">
        <v>504</v>
      </c>
      <c r="F21" s="26" t="s">
        <v>504</v>
      </c>
      <c r="G21" s="28">
        <v>289.21111111111111</v>
      </c>
      <c r="H21" s="28">
        <v>31.933333333333334</v>
      </c>
      <c r="I21" s="29">
        <v>179</v>
      </c>
      <c r="J21" s="29">
        <v>1077</v>
      </c>
      <c r="K21" s="29">
        <v>429</v>
      </c>
      <c r="L21" s="29">
        <v>849</v>
      </c>
      <c r="M21" s="29">
        <v>2534</v>
      </c>
      <c r="N21" s="29">
        <v>2355</v>
      </c>
      <c r="O21" s="29">
        <v>1685</v>
      </c>
      <c r="P21" s="29">
        <v>36</v>
      </c>
      <c r="Q21" s="27">
        <v>177.92777777777778</v>
      </c>
      <c r="R21" s="27">
        <v>166.76111111111112</v>
      </c>
      <c r="S21" s="27">
        <v>175.51666666666668</v>
      </c>
      <c r="T21" s="27">
        <v>171.3388888888889</v>
      </c>
      <c r="U21" s="27">
        <v>184.03888888888889</v>
      </c>
      <c r="V21" s="27">
        <v>192.40555555555557</v>
      </c>
      <c r="W21" s="27">
        <v>169.49444444444444</v>
      </c>
      <c r="X21" s="27">
        <v>202.49444444444444</v>
      </c>
      <c r="Y21" s="27">
        <v>209.86111111111111</v>
      </c>
      <c r="Z21" s="27">
        <v>215.40555555555557</v>
      </c>
      <c r="AA21" s="27">
        <v>200.3388888888889</v>
      </c>
      <c r="AB21" s="27">
        <v>205.53888888888889</v>
      </c>
      <c r="AC21" s="27">
        <v>182.14444444444445</v>
      </c>
      <c r="AD21" s="27">
        <v>1059.5555555555557</v>
      </c>
      <c r="AE21" s="27">
        <v>412.35555555555555</v>
      </c>
      <c r="AF21" s="27">
        <v>803.42777777777769</v>
      </c>
      <c r="AG21" s="27">
        <v>1649.8388888888892</v>
      </c>
      <c r="AH21" s="27">
        <v>2275.3388888888894</v>
      </c>
      <c r="AI21" s="27">
        <v>2453.2666666666669</v>
      </c>
      <c r="AJ21" s="28">
        <v>317.69444444444446</v>
      </c>
      <c r="AK21" s="28">
        <v>38.87222222222222</v>
      </c>
      <c r="AL21" s="28">
        <v>356.56666666666666</v>
      </c>
      <c r="AM21" s="29">
        <v>172</v>
      </c>
      <c r="AN21" s="35">
        <v>190</v>
      </c>
      <c r="AO21" s="27">
        <v>161</v>
      </c>
      <c r="AP21" s="27">
        <v>179</v>
      </c>
      <c r="AQ21" s="27">
        <v>180</v>
      </c>
      <c r="AR21" s="27">
        <v>180</v>
      </c>
      <c r="AS21" s="27">
        <v>190</v>
      </c>
      <c r="AT21" s="27">
        <v>168</v>
      </c>
      <c r="AU21" s="27">
        <v>206</v>
      </c>
      <c r="AV21" s="27">
        <v>234</v>
      </c>
      <c r="AW21" s="27">
        <v>224</v>
      </c>
      <c r="AX21" s="27">
        <v>202</v>
      </c>
      <c r="AY21" s="27">
        <v>187</v>
      </c>
      <c r="AZ21" s="27">
        <v>1080</v>
      </c>
      <c r="BA21" s="27">
        <v>374</v>
      </c>
      <c r="BB21" s="27">
        <v>847</v>
      </c>
      <c r="BC21" s="27">
        <v>1626</v>
      </c>
      <c r="BD21" s="27">
        <v>2301</v>
      </c>
      <c r="BE21" s="27">
        <v>2473</v>
      </c>
      <c r="BF21" s="27">
        <v>165</v>
      </c>
      <c r="BG21" s="27">
        <v>7</v>
      </c>
      <c r="BH21" s="27">
        <v>3</v>
      </c>
      <c r="BI21" s="27">
        <v>1373</v>
      </c>
      <c r="BJ21" s="27">
        <v>322</v>
      </c>
      <c r="BK21" s="29">
        <v>34</v>
      </c>
      <c r="BL21" s="29">
        <v>356</v>
      </c>
      <c r="BM21" s="29">
        <v>152</v>
      </c>
      <c r="BN21" s="30">
        <v>9.2327646516911444E-2</v>
      </c>
      <c r="BO21" s="31">
        <v>152.44900000000004</v>
      </c>
      <c r="BP21" s="31">
        <v>144.44900000000001</v>
      </c>
      <c r="BQ21" s="31">
        <v>138.44900000000004</v>
      </c>
      <c r="BR21" s="31">
        <v>159.69899999999998</v>
      </c>
      <c r="BS21" s="32">
        <v>0</v>
      </c>
      <c r="BT21" s="32">
        <v>0</v>
      </c>
      <c r="BU21" s="33">
        <v>0</v>
      </c>
      <c r="BV21" s="33">
        <v>4.1944439999999998</v>
      </c>
      <c r="BW21" s="33">
        <v>168.74444399999999</v>
      </c>
      <c r="BX21" s="33">
        <v>172.9388888888889</v>
      </c>
      <c r="BY21" s="33">
        <v>189.03333333333333</v>
      </c>
      <c r="BZ21" s="33">
        <v>162.1888888888889</v>
      </c>
      <c r="CA21" s="33">
        <v>177.26666666666668</v>
      </c>
      <c r="CB21" s="33">
        <v>177.57222222222222</v>
      </c>
      <c r="CC21" s="33">
        <v>180.61111111111111</v>
      </c>
      <c r="CD21" s="33">
        <v>185.54444444444445</v>
      </c>
      <c r="CE21" s="33">
        <v>167.53888888888889</v>
      </c>
      <c r="CF21" s="33">
        <v>201.71111111111111</v>
      </c>
      <c r="CG21" s="33">
        <v>222.91666666666666</v>
      </c>
      <c r="CH21" s="33">
        <v>208.67222222222222</v>
      </c>
      <c r="CI21" s="33">
        <v>192.62777777777777</v>
      </c>
      <c r="CJ21" s="33">
        <v>170.14444444444445</v>
      </c>
      <c r="CK21" s="33">
        <v>1072.2166666666667</v>
      </c>
      <c r="CL21" s="33">
        <v>369.25</v>
      </c>
      <c r="CM21" s="33">
        <v>794.36111111111109</v>
      </c>
      <c r="CN21" s="33">
        <v>1614.4055555555556</v>
      </c>
      <c r="CO21" s="33">
        <v>2235.827777777778</v>
      </c>
      <c r="CP21" s="33">
        <v>2408.7666666666669</v>
      </c>
      <c r="CQ21" s="33">
        <v>338.13333333333298</v>
      </c>
      <c r="CR21" s="33">
        <v>32.299999999999997</v>
      </c>
      <c r="CS21" s="33">
        <v>370.433333333333</v>
      </c>
      <c r="CT21" s="33">
        <v>0</v>
      </c>
      <c r="CU21" s="33">
        <v>155</v>
      </c>
      <c r="CV21" s="32">
        <v>6</v>
      </c>
      <c r="CW21" s="32">
        <v>161</v>
      </c>
      <c r="CX21" s="32">
        <v>175</v>
      </c>
      <c r="CY21" s="32">
        <v>187</v>
      </c>
      <c r="CZ21" s="32">
        <v>182</v>
      </c>
      <c r="DA21" s="32">
        <v>186</v>
      </c>
      <c r="DB21" s="32">
        <v>188</v>
      </c>
      <c r="DC21" s="32">
        <v>190</v>
      </c>
      <c r="DD21" s="32">
        <v>194</v>
      </c>
      <c r="DE21" s="32">
        <v>167</v>
      </c>
      <c r="DF21" s="32">
        <v>216</v>
      </c>
      <c r="DG21" s="32">
        <v>224</v>
      </c>
      <c r="DH21" s="32">
        <v>216</v>
      </c>
      <c r="DI21" s="32">
        <v>200</v>
      </c>
      <c r="DJ21" s="32">
        <v>1108</v>
      </c>
      <c r="DK21" s="32">
        <v>361</v>
      </c>
      <c r="DL21" s="32">
        <v>856</v>
      </c>
      <c r="DM21" s="32">
        <v>1630</v>
      </c>
      <c r="DN21" s="32">
        <v>2325</v>
      </c>
      <c r="DO21" s="32">
        <v>2486</v>
      </c>
      <c r="DP21" s="32">
        <v>4</v>
      </c>
      <c r="DQ21" s="32">
        <v>1365</v>
      </c>
      <c r="DR21" s="32">
        <v>336</v>
      </c>
      <c r="DS21" s="32">
        <v>31</v>
      </c>
      <c r="DT21" s="32">
        <v>367</v>
      </c>
      <c r="DU21" s="32">
        <v>157</v>
      </c>
      <c r="DV21" s="33">
        <v>154.07000000000005</v>
      </c>
      <c r="DW21" s="33">
        <v>146.07000000000002</v>
      </c>
      <c r="DX21" s="33">
        <v>68.818999999999988</v>
      </c>
      <c r="DY21" s="33">
        <v>58.519999999999996</v>
      </c>
      <c r="DZ21" s="33">
        <v>0</v>
      </c>
      <c r="EA21" s="33">
        <v>157.07</v>
      </c>
      <c r="EB21" s="34">
        <v>9.4349909674829313E-2</v>
      </c>
      <c r="EC21" s="32"/>
      <c r="ED21" s="32">
        <v>161</v>
      </c>
      <c r="EE21" s="32">
        <v>2322</v>
      </c>
      <c r="EF21" s="32"/>
      <c r="EG21" s="32"/>
      <c r="EH21" s="33"/>
      <c r="EI21" s="32">
        <v>2483</v>
      </c>
      <c r="EJ21" s="32">
        <v>41</v>
      </c>
      <c r="EK21" s="32">
        <v>361</v>
      </c>
      <c r="EL21" s="32">
        <v>402</v>
      </c>
      <c r="EM21" s="32">
        <v>325</v>
      </c>
      <c r="EN21" s="32">
        <v>36</v>
      </c>
      <c r="EO21" s="32">
        <v>37</v>
      </c>
      <c r="EP21" s="33">
        <v>63</v>
      </c>
      <c r="EQ21" s="33">
        <v>6</v>
      </c>
      <c r="ER21" s="33">
        <v>13</v>
      </c>
      <c r="ES21" s="33">
        <v>12</v>
      </c>
      <c r="ET21" s="33">
        <v>75</v>
      </c>
      <c r="EU21" s="33">
        <v>169</v>
      </c>
    </row>
    <row r="22" spans="1:151" ht="55.2" x14ac:dyDescent="0.3">
      <c r="A22" s="25">
        <v>21</v>
      </c>
      <c r="B22" s="26" t="s">
        <v>467</v>
      </c>
      <c r="C22" s="27" t="s">
        <v>667</v>
      </c>
      <c r="D22" s="27" t="s">
        <v>261</v>
      </c>
      <c r="E22" s="26" t="s">
        <v>504</v>
      </c>
      <c r="F22" s="26" t="s">
        <v>504</v>
      </c>
      <c r="G22" s="28">
        <v>126.16666666666667</v>
      </c>
      <c r="H22" s="28">
        <v>10.783333333333333</v>
      </c>
      <c r="I22" s="29">
        <v>72</v>
      </c>
      <c r="J22" s="29">
        <v>445</v>
      </c>
      <c r="K22" s="29">
        <v>182</v>
      </c>
      <c r="L22" s="29">
        <v>327</v>
      </c>
      <c r="M22" s="29">
        <v>1026</v>
      </c>
      <c r="N22" s="29">
        <v>954</v>
      </c>
      <c r="O22" s="29">
        <v>699</v>
      </c>
      <c r="P22" s="29">
        <v>11</v>
      </c>
      <c r="Q22" s="27">
        <v>71.12222222222222</v>
      </c>
      <c r="R22" s="27">
        <v>63.261111111111113</v>
      </c>
      <c r="S22" s="27">
        <v>79.405555555555551</v>
      </c>
      <c r="T22" s="27">
        <v>59.755555555555553</v>
      </c>
      <c r="U22" s="27">
        <v>89.188888888888883</v>
      </c>
      <c r="V22" s="27">
        <v>72.216666666666669</v>
      </c>
      <c r="W22" s="27">
        <v>82.033333333333331</v>
      </c>
      <c r="X22" s="27">
        <v>81.75555555555556</v>
      </c>
      <c r="Y22" s="27">
        <v>98.283333333333331</v>
      </c>
      <c r="Z22" s="27">
        <v>77.25</v>
      </c>
      <c r="AA22" s="27">
        <v>91.37777777777778</v>
      </c>
      <c r="AB22" s="27">
        <v>83.272222222222226</v>
      </c>
      <c r="AC22" s="27">
        <v>65.044444444444451</v>
      </c>
      <c r="AD22" s="27">
        <v>445.86111111111109</v>
      </c>
      <c r="AE22" s="27">
        <v>180.03888888888889</v>
      </c>
      <c r="AF22" s="27">
        <v>316.94444444444446</v>
      </c>
      <c r="AG22" s="27">
        <v>697.02222222222213</v>
      </c>
      <c r="AH22" s="27">
        <v>942.84444444444443</v>
      </c>
      <c r="AI22" s="27">
        <v>1013.9666666666666</v>
      </c>
      <c r="AJ22" s="28">
        <v>139.97777777777779</v>
      </c>
      <c r="AK22" s="28">
        <v>11.427777777777777</v>
      </c>
      <c r="AL22" s="28">
        <v>151.40555555555557</v>
      </c>
      <c r="AM22" s="29">
        <v>75</v>
      </c>
      <c r="AN22" s="35">
        <v>69</v>
      </c>
      <c r="AO22" s="27">
        <v>65</v>
      </c>
      <c r="AP22" s="27">
        <v>78</v>
      </c>
      <c r="AQ22" s="27">
        <v>61</v>
      </c>
      <c r="AR22" s="27">
        <v>91</v>
      </c>
      <c r="AS22" s="27">
        <v>74</v>
      </c>
      <c r="AT22" s="27">
        <v>83</v>
      </c>
      <c r="AU22" s="27">
        <v>87</v>
      </c>
      <c r="AV22" s="27">
        <v>103</v>
      </c>
      <c r="AW22" s="27">
        <v>77</v>
      </c>
      <c r="AX22" s="27">
        <v>96</v>
      </c>
      <c r="AY22" s="27">
        <v>84</v>
      </c>
      <c r="AZ22" s="27">
        <v>438</v>
      </c>
      <c r="BA22" s="27">
        <v>170</v>
      </c>
      <c r="BB22" s="27">
        <v>360</v>
      </c>
      <c r="BC22" s="27">
        <v>683</v>
      </c>
      <c r="BD22" s="27">
        <v>968</v>
      </c>
      <c r="BE22" s="27">
        <v>1043</v>
      </c>
      <c r="BF22" s="27">
        <v>72</v>
      </c>
      <c r="BG22" s="27">
        <v>3</v>
      </c>
      <c r="BH22" s="27">
        <v>1</v>
      </c>
      <c r="BI22" s="27">
        <v>235</v>
      </c>
      <c r="BJ22" s="27">
        <v>158</v>
      </c>
      <c r="BK22" s="29">
        <v>11</v>
      </c>
      <c r="BL22" s="29">
        <v>169</v>
      </c>
      <c r="BM22" s="29">
        <v>51</v>
      </c>
      <c r="BN22" s="30">
        <v>9.2406254524395437E-2</v>
      </c>
      <c r="BO22" s="31">
        <v>69.950000000000017</v>
      </c>
      <c r="BP22" s="31">
        <v>66.200000000000017</v>
      </c>
      <c r="BQ22" s="31">
        <v>64.010000000000005</v>
      </c>
      <c r="BR22" s="31">
        <v>70.05</v>
      </c>
      <c r="BS22" s="32">
        <v>0</v>
      </c>
      <c r="BT22" s="32">
        <v>0</v>
      </c>
      <c r="BU22" s="33">
        <v>0</v>
      </c>
      <c r="BV22" s="33">
        <v>6.6666000000000003E-2</v>
      </c>
      <c r="BW22" s="33">
        <v>74.744444000000001</v>
      </c>
      <c r="BX22" s="33">
        <v>74.811111111111117</v>
      </c>
      <c r="BY22" s="33">
        <v>70.783333333333331</v>
      </c>
      <c r="BZ22" s="33">
        <v>64.522222222222226</v>
      </c>
      <c r="CA22" s="33">
        <v>76.716666666666669</v>
      </c>
      <c r="CB22" s="33">
        <v>60.733333333333334</v>
      </c>
      <c r="CC22" s="33">
        <v>92.63333333333334</v>
      </c>
      <c r="CD22" s="33">
        <v>73</v>
      </c>
      <c r="CE22" s="33">
        <v>84.194444444444443</v>
      </c>
      <c r="CF22" s="33">
        <v>86.74444444444444</v>
      </c>
      <c r="CG22" s="33">
        <v>103.85555555555555</v>
      </c>
      <c r="CH22" s="33">
        <v>77.61666666666666</v>
      </c>
      <c r="CI22" s="33">
        <v>93.705555555555549</v>
      </c>
      <c r="CJ22" s="33">
        <v>78.461111111111109</v>
      </c>
      <c r="CK22" s="33">
        <v>438.38888888888886</v>
      </c>
      <c r="CL22" s="33">
        <v>170.93888888888887</v>
      </c>
      <c r="CM22" s="33">
        <v>353.63888888888891</v>
      </c>
      <c r="CN22" s="33">
        <v>684.13888888888891</v>
      </c>
      <c r="CO22" s="33">
        <v>962.96666666666647</v>
      </c>
      <c r="CP22" s="33">
        <v>1037.7777777777778</v>
      </c>
      <c r="CQ22" s="33">
        <v>164.6</v>
      </c>
      <c r="CR22" s="33">
        <v>9.9666666666666703</v>
      </c>
      <c r="CS22" s="33">
        <v>174.56666666666666</v>
      </c>
      <c r="CT22" s="33">
        <v>0</v>
      </c>
      <c r="CU22" s="33">
        <v>48</v>
      </c>
      <c r="CV22" s="32">
        <v>0</v>
      </c>
      <c r="CW22" s="32">
        <v>48</v>
      </c>
      <c r="CX22" s="32">
        <v>80</v>
      </c>
      <c r="CY22" s="32">
        <v>74</v>
      </c>
      <c r="CZ22" s="32">
        <v>68</v>
      </c>
      <c r="DA22" s="32">
        <v>78</v>
      </c>
      <c r="DB22" s="32">
        <v>66</v>
      </c>
      <c r="DC22" s="32">
        <v>93</v>
      </c>
      <c r="DD22" s="32">
        <v>77</v>
      </c>
      <c r="DE22" s="32">
        <v>87</v>
      </c>
      <c r="DF22" s="32">
        <v>94</v>
      </c>
      <c r="DG22" s="32">
        <v>104</v>
      </c>
      <c r="DH22" s="32">
        <v>80</v>
      </c>
      <c r="DI22" s="32">
        <v>92</v>
      </c>
      <c r="DJ22" s="32">
        <v>459</v>
      </c>
      <c r="DK22" s="32">
        <v>164</v>
      </c>
      <c r="DL22" s="32">
        <v>370</v>
      </c>
      <c r="DM22" s="32">
        <v>671</v>
      </c>
      <c r="DN22" s="32">
        <v>993</v>
      </c>
      <c r="DO22" s="32">
        <v>1041</v>
      </c>
      <c r="DP22" s="32">
        <v>2</v>
      </c>
      <c r="DQ22" s="32">
        <v>212</v>
      </c>
      <c r="DR22" s="32">
        <v>168</v>
      </c>
      <c r="DS22" s="32">
        <v>8</v>
      </c>
      <c r="DT22" s="32">
        <v>176</v>
      </c>
      <c r="DU22" s="32">
        <v>76</v>
      </c>
      <c r="DV22" s="33">
        <v>68.949999999999989</v>
      </c>
      <c r="DW22" s="33">
        <v>65.16</v>
      </c>
      <c r="DX22" s="33">
        <v>30.85</v>
      </c>
      <c r="DY22" s="33">
        <v>28.23</v>
      </c>
      <c r="DZ22" s="33">
        <v>0</v>
      </c>
      <c r="EA22" s="33">
        <v>69.75</v>
      </c>
      <c r="EB22" s="34">
        <v>9.2832167832167745E-2</v>
      </c>
      <c r="EC22" s="32"/>
      <c r="ED22" s="32">
        <v>47</v>
      </c>
      <c r="EE22" s="32">
        <v>963</v>
      </c>
      <c r="EF22" s="32"/>
      <c r="EG22" s="32"/>
      <c r="EH22" s="33"/>
      <c r="EI22" s="32">
        <v>1010</v>
      </c>
      <c r="EJ22" s="32">
        <v>18</v>
      </c>
      <c r="EK22" s="32">
        <v>178</v>
      </c>
      <c r="EL22" s="32">
        <v>196</v>
      </c>
      <c r="EM22" s="32">
        <v>167</v>
      </c>
      <c r="EN22" s="32">
        <v>11</v>
      </c>
      <c r="EO22" s="32">
        <v>34</v>
      </c>
      <c r="EP22" s="33">
        <v>38</v>
      </c>
      <c r="EQ22" s="33">
        <v>3</v>
      </c>
      <c r="ER22" s="33">
        <v>4</v>
      </c>
      <c r="ES22" s="33">
        <v>2</v>
      </c>
      <c r="ET22" s="33">
        <v>26</v>
      </c>
      <c r="EU22" s="33">
        <v>73</v>
      </c>
    </row>
    <row r="23" spans="1:151" ht="41.4" x14ac:dyDescent="0.3">
      <c r="A23" s="25">
        <v>22</v>
      </c>
      <c r="B23" s="26" t="s">
        <v>468</v>
      </c>
      <c r="C23" s="27" t="s">
        <v>668</v>
      </c>
      <c r="D23" s="27" t="s">
        <v>261</v>
      </c>
      <c r="E23" s="26" t="s">
        <v>504</v>
      </c>
      <c r="F23" s="26" t="s">
        <v>504</v>
      </c>
      <c r="G23" s="28">
        <v>300.74444444444447</v>
      </c>
      <c r="H23" s="28">
        <v>45.56111111111111</v>
      </c>
      <c r="I23" s="29">
        <v>212</v>
      </c>
      <c r="J23" s="29">
        <v>1784</v>
      </c>
      <c r="K23" s="29">
        <v>766</v>
      </c>
      <c r="L23" s="29">
        <v>1588</v>
      </c>
      <c r="M23" s="29">
        <v>4350</v>
      </c>
      <c r="N23" s="29">
        <v>4138</v>
      </c>
      <c r="O23" s="29">
        <v>2762</v>
      </c>
      <c r="P23" s="29">
        <v>42</v>
      </c>
      <c r="Q23" s="27">
        <v>215.6</v>
      </c>
      <c r="R23" s="27">
        <v>264.9111111111111</v>
      </c>
      <c r="S23" s="27">
        <v>261.16666666666669</v>
      </c>
      <c r="T23" s="27">
        <v>297.06111111111113</v>
      </c>
      <c r="U23" s="27">
        <v>300.18333333333334</v>
      </c>
      <c r="V23" s="27">
        <v>311.23888888888888</v>
      </c>
      <c r="W23" s="27">
        <v>337.61111111111109</v>
      </c>
      <c r="X23" s="27">
        <v>358.79444444444442</v>
      </c>
      <c r="Y23" s="27">
        <v>387.89444444444445</v>
      </c>
      <c r="Z23" s="27">
        <v>360.51111111111112</v>
      </c>
      <c r="AA23" s="27">
        <v>406.8</v>
      </c>
      <c r="AB23" s="27">
        <v>402.09444444444443</v>
      </c>
      <c r="AC23" s="27">
        <v>334.42777777777781</v>
      </c>
      <c r="AD23" s="27">
        <v>1772.1722222222222</v>
      </c>
      <c r="AE23" s="27">
        <v>746.68888888888887</v>
      </c>
      <c r="AF23" s="27">
        <v>1503.8333333333335</v>
      </c>
      <c r="AG23" s="27">
        <v>2734.4611111111112</v>
      </c>
      <c r="AH23" s="27">
        <v>4022.6944444444448</v>
      </c>
      <c r="AI23" s="27">
        <v>4238.2944444444447</v>
      </c>
      <c r="AJ23" s="28">
        <v>331.11666666666667</v>
      </c>
      <c r="AK23" s="28">
        <v>49.961111111111109</v>
      </c>
      <c r="AL23" s="28">
        <v>381.07777777777778</v>
      </c>
      <c r="AM23" s="29">
        <v>208</v>
      </c>
      <c r="AN23" s="35">
        <v>212</v>
      </c>
      <c r="AO23" s="27">
        <v>277</v>
      </c>
      <c r="AP23" s="27">
        <v>267</v>
      </c>
      <c r="AQ23" s="27">
        <v>288</v>
      </c>
      <c r="AR23" s="27">
        <v>307</v>
      </c>
      <c r="AS23" s="27">
        <v>340</v>
      </c>
      <c r="AT23" s="27">
        <v>357</v>
      </c>
      <c r="AU23" s="27">
        <v>376</v>
      </c>
      <c r="AV23" s="27">
        <v>395</v>
      </c>
      <c r="AW23" s="27">
        <v>382</v>
      </c>
      <c r="AX23" s="27">
        <v>411</v>
      </c>
      <c r="AY23" s="27">
        <v>426</v>
      </c>
      <c r="AZ23" s="27">
        <v>1691</v>
      </c>
      <c r="BA23" s="27">
        <v>733</v>
      </c>
      <c r="BB23" s="27">
        <v>1614</v>
      </c>
      <c r="BC23" s="27">
        <v>2632</v>
      </c>
      <c r="BD23" s="27">
        <v>4038</v>
      </c>
      <c r="BE23" s="27">
        <v>4246</v>
      </c>
      <c r="BF23" s="27">
        <v>208</v>
      </c>
      <c r="BG23" s="27">
        <v>0</v>
      </c>
      <c r="BH23" s="27">
        <v>3</v>
      </c>
      <c r="BI23" s="27">
        <v>792</v>
      </c>
      <c r="BJ23" s="27">
        <v>352</v>
      </c>
      <c r="BK23" s="29">
        <v>44</v>
      </c>
      <c r="BL23" s="29">
        <v>396</v>
      </c>
      <c r="BM23" s="29">
        <v>407</v>
      </c>
      <c r="BN23" s="30">
        <v>0.10544518905089384</v>
      </c>
      <c r="BO23" s="31">
        <v>349.06700000000018</v>
      </c>
      <c r="BP23" s="31">
        <v>335.06700000000018</v>
      </c>
      <c r="BQ23" s="31">
        <v>302.5150000000001</v>
      </c>
      <c r="BR23" s="31">
        <v>334.51500000000004</v>
      </c>
      <c r="BS23" s="32">
        <v>0</v>
      </c>
      <c r="BT23" s="32">
        <v>0</v>
      </c>
      <c r="BU23" s="33">
        <v>0</v>
      </c>
      <c r="BV23" s="33">
        <v>0</v>
      </c>
      <c r="BW23" s="33">
        <v>212.84444400000001</v>
      </c>
      <c r="BX23" s="33">
        <v>212.84444444444443</v>
      </c>
      <c r="BY23" s="33">
        <v>213.35</v>
      </c>
      <c r="BZ23" s="33">
        <v>276.76666666666665</v>
      </c>
      <c r="CA23" s="33">
        <v>268.13333333333333</v>
      </c>
      <c r="CB23" s="33">
        <v>291.45555555555558</v>
      </c>
      <c r="CC23" s="33">
        <v>299.59444444444443</v>
      </c>
      <c r="CD23" s="33">
        <v>333.59444444444443</v>
      </c>
      <c r="CE23" s="33">
        <v>352.06666666666666</v>
      </c>
      <c r="CF23" s="33">
        <v>365.76111111111112</v>
      </c>
      <c r="CG23" s="33">
        <v>382.3388888888889</v>
      </c>
      <c r="CH23" s="33">
        <v>373.96666666666664</v>
      </c>
      <c r="CI23" s="33">
        <v>399.95</v>
      </c>
      <c r="CJ23" s="33">
        <v>349.13888888888891</v>
      </c>
      <c r="CK23" s="33">
        <v>1682.8944444444444</v>
      </c>
      <c r="CL23" s="33">
        <v>717.82777777777778</v>
      </c>
      <c r="CM23" s="33">
        <v>1505.3944444444444</v>
      </c>
      <c r="CN23" s="33">
        <v>2613.5666666666666</v>
      </c>
      <c r="CO23" s="33">
        <v>3906.1166666666668</v>
      </c>
      <c r="CP23" s="33">
        <v>4118.9611111111108</v>
      </c>
      <c r="CQ23" s="33">
        <v>348.11666666666702</v>
      </c>
      <c r="CR23" s="33">
        <v>50.5833333333333</v>
      </c>
      <c r="CS23" s="33">
        <v>398.70000000000033</v>
      </c>
      <c r="CT23" s="33">
        <v>0</v>
      </c>
      <c r="CU23" s="33">
        <v>211</v>
      </c>
      <c r="CV23" s="32">
        <v>0</v>
      </c>
      <c r="CW23" s="32">
        <v>211</v>
      </c>
      <c r="CX23" s="32">
        <v>234</v>
      </c>
      <c r="CY23" s="32">
        <v>220</v>
      </c>
      <c r="CZ23" s="32">
        <v>291</v>
      </c>
      <c r="DA23" s="32">
        <v>282</v>
      </c>
      <c r="DB23" s="32">
        <v>297</v>
      </c>
      <c r="DC23" s="32">
        <v>322</v>
      </c>
      <c r="DD23" s="32">
        <v>344</v>
      </c>
      <c r="DE23" s="32">
        <v>360</v>
      </c>
      <c r="DF23" s="32">
        <v>381</v>
      </c>
      <c r="DG23" s="32">
        <v>394</v>
      </c>
      <c r="DH23" s="32">
        <v>370</v>
      </c>
      <c r="DI23" s="32">
        <v>411</v>
      </c>
      <c r="DJ23" s="32">
        <v>1646</v>
      </c>
      <c r="DK23" s="32">
        <v>704</v>
      </c>
      <c r="DL23" s="32">
        <v>1556</v>
      </c>
      <c r="DM23" s="32">
        <v>2561</v>
      </c>
      <c r="DN23" s="32">
        <v>3906</v>
      </c>
      <c r="DO23" s="32">
        <v>4117</v>
      </c>
      <c r="DP23" s="32">
        <v>3</v>
      </c>
      <c r="DQ23" s="32">
        <v>743</v>
      </c>
      <c r="DR23" s="32">
        <v>347</v>
      </c>
      <c r="DS23" s="32">
        <v>55</v>
      </c>
      <c r="DT23" s="32">
        <v>402</v>
      </c>
      <c r="DU23" s="32">
        <v>377</v>
      </c>
      <c r="DV23" s="33">
        <v>361.85000000000008</v>
      </c>
      <c r="DW23" s="33">
        <v>347.85</v>
      </c>
      <c r="DX23" s="33">
        <v>129.18299999999999</v>
      </c>
      <c r="DY23" s="33">
        <v>131.40800000000002</v>
      </c>
      <c r="DZ23" s="33">
        <v>0</v>
      </c>
      <c r="EA23" s="33">
        <v>367.16999999999996</v>
      </c>
      <c r="EB23" s="34">
        <v>0.10603806801792842</v>
      </c>
      <c r="EC23" s="32"/>
      <c r="ED23" s="32">
        <v>205</v>
      </c>
      <c r="EE23" s="32">
        <v>3788</v>
      </c>
      <c r="EF23" s="32"/>
      <c r="EG23" s="32"/>
      <c r="EH23" s="33"/>
      <c r="EI23" s="32">
        <v>3993</v>
      </c>
      <c r="EJ23" s="32">
        <v>16</v>
      </c>
      <c r="EK23" s="32">
        <v>414</v>
      </c>
      <c r="EL23" s="32">
        <v>430</v>
      </c>
      <c r="EM23" s="32">
        <v>354</v>
      </c>
      <c r="EN23" s="32">
        <v>60</v>
      </c>
      <c r="EO23" s="32">
        <v>40</v>
      </c>
      <c r="EP23" s="33">
        <v>75.349999999999994</v>
      </c>
      <c r="EQ23" s="33">
        <v>6</v>
      </c>
      <c r="ER23" s="33">
        <v>18.690000000000001</v>
      </c>
      <c r="ES23" s="33">
        <v>37</v>
      </c>
      <c r="ET23" s="33">
        <v>0</v>
      </c>
      <c r="EU23" s="33">
        <v>137.04</v>
      </c>
    </row>
    <row r="24" spans="1:151" ht="27.6" x14ac:dyDescent="0.3">
      <c r="A24" s="25">
        <v>23</v>
      </c>
      <c r="B24" s="26" t="s">
        <v>469</v>
      </c>
      <c r="C24" s="27" t="s">
        <v>669</v>
      </c>
      <c r="D24" s="27" t="s">
        <v>261</v>
      </c>
      <c r="E24" s="26" t="s">
        <v>504</v>
      </c>
      <c r="F24" s="26" t="s">
        <v>504</v>
      </c>
      <c r="G24" s="28">
        <v>43.038888888888891</v>
      </c>
      <c r="H24" s="28">
        <v>1</v>
      </c>
      <c r="I24" s="29">
        <v>9</v>
      </c>
      <c r="J24" s="29">
        <v>107</v>
      </c>
      <c r="K24" s="29">
        <v>33</v>
      </c>
      <c r="L24" s="29">
        <v>111</v>
      </c>
      <c r="M24" s="29">
        <v>260</v>
      </c>
      <c r="N24" s="29">
        <v>251</v>
      </c>
      <c r="O24" s="29">
        <v>149</v>
      </c>
      <c r="P24" s="29">
        <v>1</v>
      </c>
      <c r="Q24" s="27">
        <v>9.7388888888888889</v>
      </c>
      <c r="R24" s="27">
        <v>15.9</v>
      </c>
      <c r="S24" s="27">
        <v>21.844444444444445</v>
      </c>
      <c r="T24" s="27">
        <v>16.083333333333332</v>
      </c>
      <c r="U24" s="27">
        <v>15.666666666666666</v>
      </c>
      <c r="V24" s="27">
        <v>17.816666666666666</v>
      </c>
      <c r="W24" s="27">
        <v>22.511111111111113</v>
      </c>
      <c r="X24" s="27">
        <v>18.361111111111111</v>
      </c>
      <c r="Y24" s="27">
        <v>15.116666666666667</v>
      </c>
      <c r="Z24" s="27">
        <v>30.966666666666665</v>
      </c>
      <c r="AA24" s="27">
        <v>24.177777777777777</v>
      </c>
      <c r="AB24" s="27">
        <v>23.705555555555556</v>
      </c>
      <c r="AC24" s="27">
        <v>31.488888888888887</v>
      </c>
      <c r="AD24" s="27">
        <v>109.82222222222222</v>
      </c>
      <c r="AE24" s="27">
        <v>33.477777777777774</v>
      </c>
      <c r="AF24" s="27">
        <v>110.33888888888887</v>
      </c>
      <c r="AG24" s="27">
        <v>153.03888888888889</v>
      </c>
      <c r="AH24" s="27">
        <v>253.63888888888889</v>
      </c>
      <c r="AI24" s="27">
        <v>263.37777777777779</v>
      </c>
      <c r="AJ24" s="28">
        <v>40.116666666666667</v>
      </c>
      <c r="AK24" s="28">
        <v>0.99444444444444446</v>
      </c>
      <c r="AL24" s="28">
        <v>41.111111111111114</v>
      </c>
      <c r="AM24" s="29">
        <v>20</v>
      </c>
      <c r="AN24" s="35">
        <v>9</v>
      </c>
      <c r="AO24" s="27">
        <v>16</v>
      </c>
      <c r="AP24" s="27">
        <v>23</v>
      </c>
      <c r="AQ24" s="27">
        <v>17</v>
      </c>
      <c r="AR24" s="27">
        <v>15</v>
      </c>
      <c r="AS24" s="27">
        <v>18</v>
      </c>
      <c r="AT24" s="27">
        <v>29</v>
      </c>
      <c r="AU24" s="27">
        <v>21</v>
      </c>
      <c r="AV24" s="27">
        <v>16</v>
      </c>
      <c r="AW24" s="27">
        <v>31</v>
      </c>
      <c r="AX24" s="27">
        <v>23</v>
      </c>
      <c r="AY24" s="27">
        <v>24</v>
      </c>
      <c r="AZ24" s="27">
        <v>98</v>
      </c>
      <c r="BA24" s="27">
        <v>50</v>
      </c>
      <c r="BB24" s="27">
        <v>94</v>
      </c>
      <c r="BC24" s="27">
        <v>168</v>
      </c>
      <c r="BD24" s="27">
        <v>242</v>
      </c>
      <c r="BE24" s="27">
        <v>262</v>
      </c>
      <c r="BF24" s="27">
        <v>20</v>
      </c>
      <c r="BG24" s="27">
        <v>0</v>
      </c>
      <c r="BH24" s="27">
        <v>0</v>
      </c>
      <c r="BI24" s="27">
        <v>143</v>
      </c>
      <c r="BJ24" s="27">
        <v>39</v>
      </c>
      <c r="BK24" s="29">
        <v>1</v>
      </c>
      <c r="BL24" s="29">
        <v>40</v>
      </c>
      <c r="BM24" s="29">
        <v>28</v>
      </c>
      <c r="BN24" s="30">
        <v>8.1578251742314867E-2</v>
      </c>
      <c r="BO24" s="31">
        <v>29.13</v>
      </c>
      <c r="BP24" s="31">
        <v>27.200000000000003</v>
      </c>
      <c r="BQ24" s="31">
        <v>27.200000000000003</v>
      </c>
      <c r="BR24" s="31">
        <v>29.13</v>
      </c>
      <c r="BS24" s="32">
        <v>0</v>
      </c>
      <c r="BT24" s="32">
        <v>0</v>
      </c>
      <c r="BU24" s="33">
        <v>0</v>
      </c>
      <c r="BV24" s="33">
        <v>0</v>
      </c>
      <c r="BW24" s="33">
        <v>18.816666000000001</v>
      </c>
      <c r="BX24" s="33">
        <v>18.816666666666666</v>
      </c>
      <c r="BY24" s="33">
        <v>9.405555555555555</v>
      </c>
      <c r="BZ24" s="33">
        <v>17.411111111111111</v>
      </c>
      <c r="CA24" s="33">
        <v>22.661111111111111</v>
      </c>
      <c r="CB24" s="33">
        <v>15.222222222222221</v>
      </c>
      <c r="CC24" s="33">
        <v>16.138888888888889</v>
      </c>
      <c r="CD24" s="33">
        <v>17.444444444444443</v>
      </c>
      <c r="CE24" s="33">
        <v>28.183333333333334</v>
      </c>
      <c r="CF24" s="33">
        <v>19.194444444444443</v>
      </c>
      <c r="CG24" s="33">
        <v>16.383333333333333</v>
      </c>
      <c r="CH24" s="33">
        <v>29.35</v>
      </c>
      <c r="CI24" s="33">
        <v>22.5</v>
      </c>
      <c r="CJ24" s="33">
        <v>23.344444444444445</v>
      </c>
      <c r="CK24" s="33">
        <v>98.283333333333317</v>
      </c>
      <c r="CL24" s="33">
        <v>47.37777777777778</v>
      </c>
      <c r="CM24" s="33">
        <v>91.577777777777783</v>
      </c>
      <c r="CN24" s="33">
        <v>164.47777777777776</v>
      </c>
      <c r="CO24" s="33">
        <v>237.23888888888885</v>
      </c>
      <c r="CP24" s="33">
        <v>256.05555555555554</v>
      </c>
      <c r="CQ24" s="33">
        <v>40.977777777777803</v>
      </c>
      <c r="CR24" s="33">
        <v>2</v>
      </c>
      <c r="CS24" s="33">
        <v>42.977777777777803</v>
      </c>
      <c r="CT24" s="33">
        <v>0</v>
      </c>
      <c r="CU24" s="33">
        <v>56</v>
      </c>
      <c r="CV24" s="32">
        <v>0</v>
      </c>
      <c r="CW24" s="32">
        <v>56</v>
      </c>
      <c r="CX24" s="32">
        <v>35</v>
      </c>
      <c r="CY24" s="32">
        <v>45</v>
      </c>
      <c r="CZ24" s="32">
        <v>37</v>
      </c>
      <c r="DA24" s="32">
        <v>44</v>
      </c>
      <c r="DB24" s="32">
        <v>29</v>
      </c>
      <c r="DC24" s="32">
        <v>27</v>
      </c>
      <c r="DD24" s="32">
        <v>28</v>
      </c>
      <c r="DE24" s="32">
        <v>39</v>
      </c>
      <c r="DF24" s="32">
        <v>19</v>
      </c>
      <c r="DG24" s="32">
        <v>17</v>
      </c>
      <c r="DH24" s="32">
        <v>29</v>
      </c>
      <c r="DI24" s="32">
        <v>26</v>
      </c>
      <c r="DJ24" s="32">
        <v>217</v>
      </c>
      <c r="DK24" s="32">
        <v>67</v>
      </c>
      <c r="DL24" s="32">
        <v>91</v>
      </c>
      <c r="DM24" s="32">
        <v>340</v>
      </c>
      <c r="DN24" s="32">
        <v>375</v>
      </c>
      <c r="DO24" s="32">
        <v>431</v>
      </c>
      <c r="DP24" s="32">
        <v>0</v>
      </c>
      <c r="DQ24" s="32">
        <v>146</v>
      </c>
      <c r="DR24" s="32">
        <v>54</v>
      </c>
      <c r="DS24" s="32">
        <v>2</v>
      </c>
      <c r="DT24" s="32">
        <v>56</v>
      </c>
      <c r="DU24" s="32">
        <v>36</v>
      </c>
      <c r="DV24" s="33">
        <v>30.445</v>
      </c>
      <c r="DW24" s="33">
        <v>28.445000000000004</v>
      </c>
      <c r="DX24" s="33">
        <v>13.7</v>
      </c>
      <c r="DY24" s="33">
        <v>12.445000000000002</v>
      </c>
      <c r="DZ24" s="33">
        <v>0.9</v>
      </c>
      <c r="EA24" s="33">
        <v>31.215</v>
      </c>
      <c r="EB24" s="34">
        <v>8.6754002911208106E-2</v>
      </c>
      <c r="EC24" s="32"/>
      <c r="ED24" s="32">
        <v>58</v>
      </c>
      <c r="EE24" s="32">
        <v>392</v>
      </c>
      <c r="EF24" s="32"/>
      <c r="EG24" s="32"/>
      <c r="EH24" s="33"/>
      <c r="EI24" s="32">
        <v>450</v>
      </c>
      <c r="EJ24" s="32">
        <v>7</v>
      </c>
      <c r="EK24" s="32">
        <v>55</v>
      </c>
      <c r="EL24" s="32">
        <v>62</v>
      </c>
      <c r="EM24" s="32">
        <v>53</v>
      </c>
      <c r="EN24" s="32">
        <v>2</v>
      </c>
      <c r="EO24" s="32">
        <v>0</v>
      </c>
      <c r="EP24" s="33">
        <v>10.050000000000001</v>
      </c>
      <c r="EQ24" s="33">
        <v>0.7</v>
      </c>
      <c r="ER24" s="33">
        <v>3.1</v>
      </c>
      <c r="ES24" s="33">
        <v>0</v>
      </c>
      <c r="ET24" s="33">
        <v>7.75</v>
      </c>
      <c r="EU24" s="33">
        <v>21.6</v>
      </c>
    </row>
    <row r="25" spans="1:151" ht="27.6" x14ac:dyDescent="0.3">
      <c r="A25" s="25">
        <v>24</v>
      </c>
      <c r="B25" s="26" t="s">
        <v>470</v>
      </c>
      <c r="C25" s="27" t="s">
        <v>670</v>
      </c>
      <c r="D25" s="27" t="s">
        <v>261</v>
      </c>
      <c r="E25" s="26" t="s">
        <v>504</v>
      </c>
      <c r="F25" s="26" t="s">
        <v>504</v>
      </c>
      <c r="G25" s="28">
        <v>85.12222222222222</v>
      </c>
      <c r="H25" s="28">
        <v>5.25</v>
      </c>
      <c r="I25" s="29">
        <v>39</v>
      </c>
      <c r="J25" s="29">
        <v>232</v>
      </c>
      <c r="K25" s="29">
        <v>84</v>
      </c>
      <c r="L25" s="29">
        <v>156</v>
      </c>
      <c r="M25" s="29">
        <v>511</v>
      </c>
      <c r="N25" s="29">
        <v>472</v>
      </c>
      <c r="O25" s="29">
        <v>355</v>
      </c>
      <c r="P25" s="29">
        <v>5</v>
      </c>
      <c r="Q25" s="27">
        <v>39.144444444444446</v>
      </c>
      <c r="R25" s="27">
        <v>35.738888888888887</v>
      </c>
      <c r="S25" s="27">
        <v>40.666666666666664</v>
      </c>
      <c r="T25" s="27">
        <v>41.244444444444447</v>
      </c>
      <c r="U25" s="27">
        <v>30.227777777777778</v>
      </c>
      <c r="V25" s="27">
        <v>41.6</v>
      </c>
      <c r="W25" s="27">
        <v>37.111111111111114</v>
      </c>
      <c r="X25" s="27">
        <v>40.25</v>
      </c>
      <c r="Y25" s="27">
        <v>41.65</v>
      </c>
      <c r="Z25" s="27">
        <v>34.327777777777776</v>
      </c>
      <c r="AA25" s="27">
        <v>40.983333333333334</v>
      </c>
      <c r="AB25" s="27">
        <v>42.105555555555554</v>
      </c>
      <c r="AC25" s="27">
        <v>24.638888888888889</v>
      </c>
      <c r="AD25" s="27">
        <v>226.5888888888889</v>
      </c>
      <c r="AE25" s="27">
        <v>81.900000000000006</v>
      </c>
      <c r="AF25" s="27">
        <v>142.05555555555554</v>
      </c>
      <c r="AG25" s="27">
        <v>347.63333333333333</v>
      </c>
      <c r="AH25" s="27">
        <v>450.54444444444448</v>
      </c>
      <c r="AI25" s="27">
        <v>489.68888888888893</v>
      </c>
      <c r="AJ25" s="28">
        <v>81.061111111111117</v>
      </c>
      <c r="AK25" s="28">
        <v>11.811111111111112</v>
      </c>
      <c r="AL25" s="28">
        <v>92.872222222222234</v>
      </c>
      <c r="AM25" s="29">
        <v>30</v>
      </c>
      <c r="AN25" s="35">
        <v>42</v>
      </c>
      <c r="AO25" s="27">
        <v>39</v>
      </c>
      <c r="AP25" s="27">
        <v>45</v>
      </c>
      <c r="AQ25" s="27">
        <v>40</v>
      </c>
      <c r="AR25" s="27">
        <v>31</v>
      </c>
      <c r="AS25" s="27">
        <v>43</v>
      </c>
      <c r="AT25" s="27">
        <v>41</v>
      </c>
      <c r="AU25" s="27">
        <v>43</v>
      </c>
      <c r="AV25" s="27">
        <v>42</v>
      </c>
      <c r="AW25" s="27">
        <v>40</v>
      </c>
      <c r="AX25" s="27">
        <v>42</v>
      </c>
      <c r="AY25" s="27">
        <v>44</v>
      </c>
      <c r="AZ25" s="27">
        <v>240</v>
      </c>
      <c r="BA25" s="27">
        <v>84</v>
      </c>
      <c r="BB25" s="27">
        <v>168</v>
      </c>
      <c r="BC25" s="27">
        <v>354</v>
      </c>
      <c r="BD25" s="27">
        <v>492</v>
      </c>
      <c r="BE25" s="27">
        <v>522</v>
      </c>
      <c r="BF25" s="27">
        <v>30</v>
      </c>
      <c r="BG25" s="27">
        <v>0</v>
      </c>
      <c r="BH25" s="27">
        <v>0</v>
      </c>
      <c r="BI25" s="27">
        <v>207</v>
      </c>
      <c r="BJ25" s="27">
        <v>79</v>
      </c>
      <c r="BK25" s="29">
        <v>15</v>
      </c>
      <c r="BL25" s="29">
        <v>94</v>
      </c>
      <c r="BM25" s="29">
        <v>5</v>
      </c>
      <c r="BN25" s="30">
        <v>9.358002406738869E-2</v>
      </c>
      <c r="BO25" s="31">
        <v>41.609999999999992</v>
      </c>
      <c r="BP25" s="31">
        <v>39.559999999999988</v>
      </c>
      <c r="BQ25" s="31">
        <v>37.559999999999995</v>
      </c>
      <c r="BR25" s="31">
        <v>40.610000000000007</v>
      </c>
      <c r="BS25" s="32">
        <v>0</v>
      </c>
      <c r="BT25" s="32">
        <v>0</v>
      </c>
      <c r="BU25" s="33">
        <v>0</v>
      </c>
      <c r="BV25" s="33">
        <v>0.25555499999999998</v>
      </c>
      <c r="BW25" s="33">
        <v>28.405555</v>
      </c>
      <c r="BX25" s="33">
        <v>28.661111111111111</v>
      </c>
      <c r="BY25" s="33">
        <v>42.527777777777779</v>
      </c>
      <c r="BZ25" s="33">
        <v>38.799999999999997</v>
      </c>
      <c r="CA25" s="33">
        <v>43.8</v>
      </c>
      <c r="CB25" s="33">
        <v>40.461111111111109</v>
      </c>
      <c r="CC25" s="33">
        <v>31.983333333333334</v>
      </c>
      <c r="CD25" s="33">
        <v>41.711111111111109</v>
      </c>
      <c r="CE25" s="33">
        <v>38.37222222222222</v>
      </c>
      <c r="CF25" s="33">
        <v>43.422222222222224</v>
      </c>
      <c r="CG25" s="33">
        <v>40.677777777777777</v>
      </c>
      <c r="CH25" s="33">
        <v>34.950000000000003</v>
      </c>
      <c r="CI25" s="33">
        <v>40.738888888888887</v>
      </c>
      <c r="CJ25" s="33">
        <v>40.288888888888891</v>
      </c>
      <c r="CK25" s="33">
        <v>239.28333333333336</v>
      </c>
      <c r="CL25" s="33">
        <v>81.794444444444451</v>
      </c>
      <c r="CM25" s="33">
        <v>156.65555555555557</v>
      </c>
      <c r="CN25" s="33">
        <v>349.73888888888888</v>
      </c>
      <c r="CO25" s="33">
        <v>477.73333333333335</v>
      </c>
      <c r="CP25" s="33">
        <v>506.39444444444439</v>
      </c>
      <c r="CQ25" s="33">
        <v>74.4166666666667</v>
      </c>
      <c r="CR25" s="33">
        <v>15.272222222222201</v>
      </c>
      <c r="CS25" s="33">
        <v>89.688888888888897</v>
      </c>
      <c r="CT25" s="33">
        <v>0</v>
      </c>
      <c r="CU25" s="33">
        <v>26</v>
      </c>
      <c r="CV25" s="32">
        <v>0</v>
      </c>
      <c r="CW25" s="32">
        <v>26</v>
      </c>
      <c r="CX25" s="32">
        <v>30</v>
      </c>
      <c r="CY25" s="32">
        <v>41</v>
      </c>
      <c r="CZ25" s="32">
        <v>40</v>
      </c>
      <c r="DA25" s="32">
        <v>45</v>
      </c>
      <c r="DB25" s="32">
        <v>43</v>
      </c>
      <c r="DC25" s="32">
        <v>32</v>
      </c>
      <c r="DD25" s="32">
        <v>42</v>
      </c>
      <c r="DE25" s="32">
        <v>38</v>
      </c>
      <c r="DF25" s="32">
        <v>43</v>
      </c>
      <c r="DG25" s="32">
        <v>41</v>
      </c>
      <c r="DH25" s="32">
        <v>36</v>
      </c>
      <c r="DI25" s="32">
        <v>42</v>
      </c>
      <c r="DJ25" s="32">
        <v>231</v>
      </c>
      <c r="DK25" s="32">
        <v>80</v>
      </c>
      <c r="DL25" s="32">
        <v>162</v>
      </c>
      <c r="DM25" s="32">
        <v>337</v>
      </c>
      <c r="DN25" s="32">
        <v>473</v>
      </c>
      <c r="DO25" s="32">
        <v>499</v>
      </c>
      <c r="DP25" s="32">
        <v>0</v>
      </c>
      <c r="DQ25" s="32">
        <v>185</v>
      </c>
      <c r="DR25" s="32">
        <v>78</v>
      </c>
      <c r="DS25" s="32">
        <v>6</v>
      </c>
      <c r="DT25" s="32">
        <v>84</v>
      </c>
      <c r="DU25" s="32">
        <v>3</v>
      </c>
      <c r="DV25" s="33">
        <v>41.61</v>
      </c>
      <c r="DW25" s="33">
        <v>39.509999999999991</v>
      </c>
      <c r="DX25" s="33">
        <v>16.160000000000004</v>
      </c>
      <c r="DY25" s="33">
        <v>16.549999999999997</v>
      </c>
      <c r="DZ25" s="33">
        <v>0</v>
      </c>
      <c r="EA25" s="33">
        <v>42.239999999999995</v>
      </c>
      <c r="EB25" s="34">
        <v>8.9534883720930269E-2</v>
      </c>
      <c r="EC25" s="32"/>
      <c r="ED25" s="32">
        <v>25</v>
      </c>
      <c r="EE25" s="32">
        <v>453</v>
      </c>
      <c r="EF25" s="32"/>
      <c r="EG25" s="32"/>
      <c r="EH25" s="33"/>
      <c r="EI25" s="32">
        <v>478</v>
      </c>
      <c r="EJ25" s="32">
        <v>6</v>
      </c>
      <c r="EK25" s="32">
        <v>84</v>
      </c>
      <c r="EL25" s="32">
        <v>90</v>
      </c>
      <c r="EM25" s="32">
        <v>77</v>
      </c>
      <c r="EN25" s="32">
        <v>7</v>
      </c>
      <c r="EO25" s="32">
        <v>23</v>
      </c>
      <c r="EP25" s="33">
        <v>15.833</v>
      </c>
      <c r="EQ25" s="33">
        <v>1.7</v>
      </c>
      <c r="ER25" s="33">
        <v>1.8</v>
      </c>
      <c r="ES25" s="33">
        <v>0.2</v>
      </c>
      <c r="ET25" s="33">
        <v>7.66</v>
      </c>
      <c r="EU25" s="33">
        <v>27.193000000000001</v>
      </c>
    </row>
    <row r="26" spans="1:151" ht="41.4" x14ac:dyDescent="0.3">
      <c r="A26" s="25">
        <v>25</v>
      </c>
      <c r="B26" s="26" t="s">
        <v>471</v>
      </c>
      <c r="C26" s="27" t="s">
        <v>671</v>
      </c>
      <c r="D26" s="27" t="s">
        <v>261</v>
      </c>
      <c r="E26" s="26" t="s">
        <v>504</v>
      </c>
      <c r="F26" s="26" t="s">
        <v>504</v>
      </c>
      <c r="G26" s="28">
        <v>376.81111111111113</v>
      </c>
      <c r="H26" s="28">
        <v>44.144444444444446</v>
      </c>
      <c r="I26" s="29">
        <v>185</v>
      </c>
      <c r="J26" s="29">
        <v>1290</v>
      </c>
      <c r="K26" s="29">
        <v>494</v>
      </c>
      <c r="L26" s="29">
        <v>912</v>
      </c>
      <c r="M26" s="29">
        <v>2881</v>
      </c>
      <c r="N26" s="29">
        <v>2696</v>
      </c>
      <c r="O26" s="29">
        <v>1969</v>
      </c>
      <c r="P26" s="29">
        <v>40</v>
      </c>
      <c r="Q26" s="27">
        <v>181.83333333333334</v>
      </c>
      <c r="R26" s="27">
        <v>213.99444444444444</v>
      </c>
      <c r="S26" s="27">
        <v>214.96666666666667</v>
      </c>
      <c r="T26" s="27">
        <v>194.6888888888889</v>
      </c>
      <c r="U26" s="27">
        <v>223.47777777777779</v>
      </c>
      <c r="V26" s="27">
        <v>213.21666666666667</v>
      </c>
      <c r="W26" s="27">
        <v>212.39444444444445</v>
      </c>
      <c r="X26" s="27">
        <v>245.46666666666667</v>
      </c>
      <c r="Y26" s="27">
        <v>242.83333333333334</v>
      </c>
      <c r="Z26" s="27">
        <v>215.01666666666668</v>
      </c>
      <c r="AA26" s="27">
        <v>233.11666666666667</v>
      </c>
      <c r="AB26" s="27">
        <v>216.87222222222223</v>
      </c>
      <c r="AC26" s="27">
        <v>208.66666666666666</v>
      </c>
      <c r="AD26" s="27">
        <v>1272.7388888888888</v>
      </c>
      <c r="AE26" s="27">
        <v>488.3</v>
      </c>
      <c r="AF26" s="27">
        <v>873.67222222222222</v>
      </c>
      <c r="AG26" s="27">
        <v>1942.8722222222223</v>
      </c>
      <c r="AH26" s="27">
        <v>2634.7111111111108</v>
      </c>
      <c r="AI26" s="27">
        <v>2816.5444444444447</v>
      </c>
      <c r="AJ26" s="28">
        <v>389.84444444444443</v>
      </c>
      <c r="AK26" s="28">
        <v>42.483333333333334</v>
      </c>
      <c r="AL26" s="28">
        <v>432.32777777777778</v>
      </c>
      <c r="AM26" s="29">
        <v>178</v>
      </c>
      <c r="AN26" s="35">
        <v>194</v>
      </c>
      <c r="AO26" s="27">
        <v>213</v>
      </c>
      <c r="AP26" s="27">
        <v>229</v>
      </c>
      <c r="AQ26" s="27">
        <v>195</v>
      </c>
      <c r="AR26" s="27">
        <v>226</v>
      </c>
      <c r="AS26" s="27">
        <v>224</v>
      </c>
      <c r="AT26" s="27">
        <v>218</v>
      </c>
      <c r="AU26" s="27">
        <v>239</v>
      </c>
      <c r="AV26" s="27">
        <v>245</v>
      </c>
      <c r="AW26" s="27">
        <v>224</v>
      </c>
      <c r="AX26" s="27">
        <v>239</v>
      </c>
      <c r="AY26" s="27">
        <v>207</v>
      </c>
      <c r="AZ26" s="27">
        <v>1281</v>
      </c>
      <c r="BA26" s="27">
        <v>457</v>
      </c>
      <c r="BB26" s="27">
        <v>915</v>
      </c>
      <c r="BC26" s="27">
        <v>1916</v>
      </c>
      <c r="BD26" s="27">
        <v>2653</v>
      </c>
      <c r="BE26" s="27">
        <v>2831</v>
      </c>
      <c r="BF26" s="27">
        <v>131</v>
      </c>
      <c r="BG26" s="27">
        <v>47</v>
      </c>
      <c r="BH26" s="27">
        <v>0</v>
      </c>
      <c r="BI26" s="27">
        <v>2042</v>
      </c>
      <c r="BJ26" s="27">
        <v>396</v>
      </c>
      <c r="BK26" s="29">
        <v>41</v>
      </c>
      <c r="BL26" s="29">
        <v>437</v>
      </c>
      <c r="BM26" s="29">
        <v>698</v>
      </c>
      <c r="BN26" s="30">
        <v>9.4389498384209181E-2</v>
      </c>
      <c r="BO26" s="31">
        <v>207.33500000000012</v>
      </c>
      <c r="BP26" s="31">
        <v>191.29200000000006</v>
      </c>
      <c r="BQ26" s="31">
        <v>182.19420000000005</v>
      </c>
      <c r="BR26" s="31">
        <v>215.33500000000004</v>
      </c>
      <c r="BS26" s="32">
        <v>0</v>
      </c>
      <c r="BT26" s="32">
        <v>0</v>
      </c>
      <c r="BU26" s="33">
        <v>0</v>
      </c>
      <c r="BV26" s="33">
        <v>54.411110999999998</v>
      </c>
      <c r="BW26" s="33">
        <v>126.866666</v>
      </c>
      <c r="BX26" s="33">
        <v>181.27777777777777</v>
      </c>
      <c r="BY26" s="33">
        <v>191.70555555555555</v>
      </c>
      <c r="BZ26" s="33">
        <v>215.46666666666667</v>
      </c>
      <c r="CA26" s="33">
        <v>222.05</v>
      </c>
      <c r="CB26" s="33">
        <v>195.27777777777777</v>
      </c>
      <c r="CC26" s="33">
        <v>222.45555555555555</v>
      </c>
      <c r="CD26" s="33">
        <v>222.77777777777777</v>
      </c>
      <c r="CE26" s="33">
        <v>219.71111111111111</v>
      </c>
      <c r="CF26" s="33">
        <v>239.86666666666667</v>
      </c>
      <c r="CG26" s="33">
        <v>239.22777777777779</v>
      </c>
      <c r="CH26" s="33">
        <v>215.77222222222221</v>
      </c>
      <c r="CI26" s="33">
        <v>231.28888888888889</v>
      </c>
      <c r="CJ26" s="33">
        <v>190.1611111111111</v>
      </c>
      <c r="CK26" s="33">
        <v>1269.7333333333333</v>
      </c>
      <c r="CL26" s="33">
        <v>459.57777777777778</v>
      </c>
      <c r="CM26" s="33">
        <v>876.45</v>
      </c>
      <c r="CN26" s="33">
        <v>1910.588888888889</v>
      </c>
      <c r="CO26" s="33">
        <v>2605.7611111111109</v>
      </c>
      <c r="CP26" s="33">
        <v>2787.0388888888888</v>
      </c>
      <c r="CQ26" s="33">
        <v>412.32222222222202</v>
      </c>
      <c r="CR26" s="33">
        <v>37.811111111111103</v>
      </c>
      <c r="CS26" s="33">
        <v>450.1333333333331</v>
      </c>
      <c r="CT26" s="33">
        <v>0</v>
      </c>
      <c r="CU26" s="33">
        <v>118</v>
      </c>
      <c r="CV26" s="32">
        <v>28</v>
      </c>
      <c r="CW26" s="32">
        <v>146</v>
      </c>
      <c r="CX26" s="32">
        <v>186</v>
      </c>
      <c r="CY26" s="32">
        <v>193</v>
      </c>
      <c r="CZ26" s="32">
        <v>225</v>
      </c>
      <c r="DA26" s="32">
        <v>232</v>
      </c>
      <c r="DB26" s="32">
        <v>197</v>
      </c>
      <c r="DC26" s="32">
        <v>230</v>
      </c>
      <c r="DD26" s="32">
        <v>230</v>
      </c>
      <c r="DE26" s="32">
        <v>214</v>
      </c>
      <c r="DF26" s="32">
        <v>240</v>
      </c>
      <c r="DG26" s="32">
        <v>243</v>
      </c>
      <c r="DH26" s="32">
        <v>216</v>
      </c>
      <c r="DI26" s="32">
        <v>216</v>
      </c>
      <c r="DJ26" s="32">
        <v>1263</v>
      </c>
      <c r="DK26" s="32">
        <v>444</v>
      </c>
      <c r="DL26" s="32">
        <v>915</v>
      </c>
      <c r="DM26" s="32">
        <v>1853</v>
      </c>
      <c r="DN26" s="32">
        <v>2622</v>
      </c>
      <c r="DO26" s="32">
        <v>2768</v>
      </c>
      <c r="DP26" s="32">
        <v>0</v>
      </c>
      <c r="DQ26" s="32">
        <v>1974</v>
      </c>
      <c r="DR26" s="32">
        <v>416</v>
      </c>
      <c r="DS26" s="32">
        <v>39</v>
      </c>
      <c r="DT26" s="32">
        <v>455</v>
      </c>
      <c r="DU26" s="32">
        <v>583</v>
      </c>
      <c r="DV26" s="33">
        <v>218.61199999999999</v>
      </c>
      <c r="DW26" s="33">
        <v>201.83199999999999</v>
      </c>
      <c r="DX26" s="33">
        <v>87.68</v>
      </c>
      <c r="DY26" s="33">
        <v>89.760000000000048</v>
      </c>
      <c r="DZ26" s="33">
        <v>1.4</v>
      </c>
      <c r="EA26" s="33">
        <v>225.17199999999997</v>
      </c>
      <c r="EB26" s="34">
        <v>9.3819228642785468E-2</v>
      </c>
      <c r="EC26" s="32"/>
      <c r="ED26" s="32">
        <v>141</v>
      </c>
      <c r="EE26" s="32">
        <v>2533</v>
      </c>
      <c r="EF26" s="32"/>
      <c r="EG26" s="32"/>
      <c r="EH26" s="33"/>
      <c r="EI26" s="32">
        <v>2674</v>
      </c>
      <c r="EJ26" s="32">
        <v>25</v>
      </c>
      <c r="EK26" s="32">
        <v>455</v>
      </c>
      <c r="EL26" s="32">
        <v>480</v>
      </c>
      <c r="EM26" s="32">
        <v>416</v>
      </c>
      <c r="EN26" s="32">
        <v>39</v>
      </c>
      <c r="EO26" s="32">
        <v>13</v>
      </c>
      <c r="EP26" s="33">
        <v>86.617999999999995</v>
      </c>
      <c r="EQ26" s="33">
        <v>7.875</v>
      </c>
      <c r="ER26" s="33">
        <v>15.35</v>
      </c>
      <c r="ES26" s="33">
        <v>17</v>
      </c>
      <c r="ET26" s="33">
        <v>111.313</v>
      </c>
      <c r="EU26" s="33">
        <v>238.15600000000001</v>
      </c>
    </row>
    <row r="27" spans="1:151" ht="27.6" x14ac:dyDescent="0.3">
      <c r="A27" s="25">
        <v>26</v>
      </c>
      <c r="B27" s="26" t="s">
        <v>472</v>
      </c>
      <c r="C27" s="27" t="s">
        <v>672</v>
      </c>
      <c r="D27" s="27" t="s">
        <v>261</v>
      </c>
      <c r="E27" s="26" t="s">
        <v>504</v>
      </c>
      <c r="F27" s="26" t="s">
        <v>504</v>
      </c>
      <c r="G27" s="28">
        <v>542.23333333333335</v>
      </c>
      <c r="H27" s="28">
        <v>56.366666666666667</v>
      </c>
      <c r="I27" s="29">
        <v>330</v>
      </c>
      <c r="J27" s="29">
        <v>2046</v>
      </c>
      <c r="K27" s="29">
        <v>753</v>
      </c>
      <c r="L27" s="29">
        <v>1434</v>
      </c>
      <c r="M27" s="29">
        <v>4563</v>
      </c>
      <c r="N27" s="29">
        <v>4233</v>
      </c>
      <c r="O27" s="29">
        <v>3129</v>
      </c>
      <c r="P27" s="29">
        <v>57</v>
      </c>
      <c r="Q27" s="27">
        <v>331.52777777777777</v>
      </c>
      <c r="R27" s="27">
        <v>328.51666666666665</v>
      </c>
      <c r="S27" s="27">
        <v>379.57777777777778</v>
      </c>
      <c r="T27" s="27">
        <v>319.8</v>
      </c>
      <c r="U27" s="27">
        <v>336.01666666666665</v>
      </c>
      <c r="V27" s="27">
        <v>317.55</v>
      </c>
      <c r="W27" s="27">
        <v>351.1</v>
      </c>
      <c r="X27" s="27">
        <v>350.90555555555557</v>
      </c>
      <c r="Y27" s="27">
        <v>394.06666666666666</v>
      </c>
      <c r="Z27" s="27">
        <v>333.92222222222222</v>
      </c>
      <c r="AA27" s="27">
        <v>386.97777777777776</v>
      </c>
      <c r="AB27" s="27">
        <v>335.49444444444447</v>
      </c>
      <c r="AC27" s="27">
        <v>312.01666666666665</v>
      </c>
      <c r="AD27" s="27">
        <v>2032.5611111111111</v>
      </c>
      <c r="AE27" s="27">
        <v>744.97222222222217</v>
      </c>
      <c r="AF27" s="27">
        <v>1368.411111111111</v>
      </c>
      <c r="AG27" s="27">
        <v>3109.0611111111111</v>
      </c>
      <c r="AH27" s="27">
        <v>4145.9444444444443</v>
      </c>
      <c r="AI27" s="27">
        <v>4477.4722222222217</v>
      </c>
      <c r="AJ27" s="28">
        <v>579.25</v>
      </c>
      <c r="AK27" s="28">
        <v>55.038888888888891</v>
      </c>
      <c r="AL27" s="28">
        <v>634.28888888888889</v>
      </c>
      <c r="AM27" s="29">
        <v>314</v>
      </c>
      <c r="AN27" s="35">
        <v>330</v>
      </c>
      <c r="AO27" s="27">
        <v>339</v>
      </c>
      <c r="AP27" s="27">
        <v>375</v>
      </c>
      <c r="AQ27" s="27">
        <v>335</v>
      </c>
      <c r="AR27" s="27">
        <v>340</v>
      </c>
      <c r="AS27" s="27">
        <v>322</v>
      </c>
      <c r="AT27" s="27">
        <v>330</v>
      </c>
      <c r="AU27" s="27">
        <v>352</v>
      </c>
      <c r="AV27" s="27">
        <v>412</v>
      </c>
      <c r="AW27" s="27">
        <v>334</v>
      </c>
      <c r="AX27" s="27">
        <v>386</v>
      </c>
      <c r="AY27" s="27">
        <v>333</v>
      </c>
      <c r="AZ27" s="27">
        <v>2041</v>
      </c>
      <c r="BA27" s="27">
        <v>682</v>
      </c>
      <c r="BB27" s="27">
        <v>1465</v>
      </c>
      <c r="BC27" s="27">
        <v>3037</v>
      </c>
      <c r="BD27" s="27">
        <v>4188</v>
      </c>
      <c r="BE27" s="27">
        <v>4502</v>
      </c>
      <c r="BF27" s="27">
        <v>306</v>
      </c>
      <c r="BG27" s="27">
        <v>8</v>
      </c>
      <c r="BH27" s="27">
        <v>4</v>
      </c>
      <c r="BI27" s="27">
        <v>2046</v>
      </c>
      <c r="BJ27" s="27">
        <v>582</v>
      </c>
      <c r="BK27" s="29">
        <v>61</v>
      </c>
      <c r="BL27" s="29">
        <v>643</v>
      </c>
      <c r="BM27" s="29">
        <v>57</v>
      </c>
      <c r="BN27" s="30">
        <v>0.10595297754589184</v>
      </c>
      <c r="BO27" s="31">
        <v>268.29500000000007</v>
      </c>
      <c r="BP27" s="31">
        <v>253.79500000000007</v>
      </c>
      <c r="BQ27" s="31">
        <v>245.28</v>
      </c>
      <c r="BR27" s="31">
        <v>267.495</v>
      </c>
      <c r="BS27" s="32">
        <v>0</v>
      </c>
      <c r="BT27" s="32">
        <v>0</v>
      </c>
      <c r="BU27" s="33">
        <v>0</v>
      </c>
      <c r="BV27" s="33">
        <v>8.5277770000000004</v>
      </c>
      <c r="BW27" s="33">
        <v>301.67222199999998</v>
      </c>
      <c r="BX27" s="33">
        <v>310.2</v>
      </c>
      <c r="BY27" s="33">
        <v>323.76666666666665</v>
      </c>
      <c r="BZ27" s="33">
        <v>334.24444444444447</v>
      </c>
      <c r="CA27" s="33">
        <v>370.87222222222221</v>
      </c>
      <c r="CB27" s="33">
        <v>329.79444444444442</v>
      </c>
      <c r="CC27" s="33">
        <v>333.77222222222224</v>
      </c>
      <c r="CD27" s="33">
        <v>318.08333333333331</v>
      </c>
      <c r="CE27" s="33">
        <v>329.67222222222222</v>
      </c>
      <c r="CF27" s="33">
        <v>342.57222222222219</v>
      </c>
      <c r="CG27" s="33">
        <v>401.23333333333335</v>
      </c>
      <c r="CH27" s="33">
        <v>329.38333333333333</v>
      </c>
      <c r="CI27" s="33">
        <v>375.03888888888889</v>
      </c>
      <c r="CJ27" s="33">
        <v>300.88888888888891</v>
      </c>
      <c r="CK27" s="33">
        <v>2010.5333333333335</v>
      </c>
      <c r="CL27" s="33">
        <v>672.24444444444441</v>
      </c>
      <c r="CM27" s="33">
        <v>1406.5444444444445</v>
      </c>
      <c r="CN27" s="33">
        <v>2992.9777777777781</v>
      </c>
      <c r="CO27" s="33">
        <v>4089.3222222222221</v>
      </c>
      <c r="CP27" s="33">
        <v>4399.5222222222228</v>
      </c>
      <c r="CQ27" s="33">
        <v>591.34444444444398</v>
      </c>
      <c r="CR27" s="33">
        <v>60.3333333333333</v>
      </c>
      <c r="CS27" s="33">
        <v>651.67777777777724</v>
      </c>
      <c r="CT27" s="33">
        <v>0</v>
      </c>
      <c r="CU27" s="33">
        <v>291</v>
      </c>
      <c r="CV27" s="32">
        <v>5</v>
      </c>
      <c r="CW27" s="32">
        <v>296</v>
      </c>
      <c r="CX27" s="32">
        <v>312</v>
      </c>
      <c r="CY27" s="32">
        <v>327</v>
      </c>
      <c r="CZ27" s="32">
        <v>337</v>
      </c>
      <c r="DA27" s="32">
        <v>374</v>
      </c>
      <c r="DB27" s="32">
        <v>336</v>
      </c>
      <c r="DC27" s="32">
        <v>341</v>
      </c>
      <c r="DD27" s="32">
        <v>318</v>
      </c>
      <c r="DE27" s="32">
        <v>331</v>
      </c>
      <c r="DF27" s="32">
        <v>361</v>
      </c>
      <c r="DG27" s="32">
        <v>398</v>
      </c>
      <c r="DH27" s="32">
        <v>324</v>
      </c>
      <c r="DI27" s="32">
        <v>377</v>
      </c>
      <c r="DJ27" s="32">
        <v>2027</v>
      </c>
      <c r="DK27" s="32">
        <v>649</v>
      </c>
      <c r="DL27" s="32">
        <v>1460</v>
      </c>
      <c r="DM27" s="32">
        <v>2972</v>
      </c>
      <c r="DN27" s="32">
        <v>4136</v>
      </c>
      <c r="DO27" s="32">
        <v>4432</v>
      </c>
      <c r="DP27" s="32">
        <v>6</v>
      </c>
      <c r="DQ27" s="32">
        <v>2042</v>
      </c>
      <c r="DR27" s="32">
        <v>579</v>
      </c>
      <c r="DS27" s="32">
        <v>63</v>
      </c>
      <c r="DT27" s="32">
        <v>642</v>
      </c>
      <c r="DU27" s="32">
        <v>50</v>
      </c>
      <c r="DV27" s="33">
        <v>266.94099999999997</v>
      </c>
      <c r="DW27" s="33">
        <v>252.44100000000003</v>
      </c>
      <c r="DX27" s="33">
        <v>109.55000000000001</v>
      </c>
      <c r="DY27" s="33">
        <v>115.271</v>
      </c>
      <c r="DZ27" s="33">
        <v>1</v>
      </c>
      <c r="EA27" s="33">
        <v>270.44099999999997</v>
      </c>
      <c r="EB27" s="34">
        <v>0.10150435857403167</v>
      </c>
      <c r="EC27" s="32"/>
      <c r="ED27" s="32">
        <v>290</v>
      </c>
      <c r="EE27" s="32">
        <v>4049</v>
      </c>
      <c r="EF27" s="32"/>
      <c r="EG27" s="32"/>
      <c r="EH27" s="33"/>
      <c r="EI27" s="32">
        <v>4339</v>
      </c>
      <c r="EJ27" s="32">
        <v>82</v>
      </c>
      <c r="EK27" s="32">
        <v>660</v>
      </c>
      <c r="EL27" s="32">
        <v>742</v>
      </c>
      <c r="EM27" s="32">
        <v>600</v>
      </c>
      <c r="EN27" s="32">
        <v>60</v>
      </c>
      <c r="EO27" s="32">
        <v>3</v>
      </c>
      <c r="EP27" s="33">
        <v>102.03</v>
      </c>
      <c r="EQ27" s="33">
        <v>7.4</v>
      </c>
      <c r="ER27" s="33">
        <v>17.16</v>
      </c>
      <c r="ES27" s="33">
        <v>6.28</v>
      </c>
      <c r="ET27" s="33">
        <v>82.13</v>
      </c>
      <c r="EU27" s="33">
        <v>215</v>
      </c>
    </row>
    <row r="28" spans="1:151" ht="55.2" x14ac:dyDescent="0.3">
      <c r="A28" s="25">
        <v>27</v>
      </c>
      <c r="B28" s="26" t="s">
        <v>473</v>
      </c>
      <c r="C28" s="27" t="s">
        <v>673</v>
      </c>
      <c r="D28" s="27" t="s">
        <v>261</v>
      </c>
      <c r="E28" s="26" t="s">
        <v>504</v>
      </c>
      <c r="F28" s="26" t="s">
        <v>504</v>
      </c>
      <c r="G28" s="28">
        <v>407.66666666666669</v>
      </c>
      <c r="H28" s="28">
        <v>27.405555555555555</v>
      </c>
      <c r="I28" s="29">
        <v>225</v>
      </c>
      <c r="J28" s="29">
        <v>1432</v>
      </c>
      <c r="K28" s="29">
        <v>479</v>
      </c>
      <c r="L28" s="29">
        <v>1053</v>
      </c>
      <c r="M28" s="29">
        <v>3189</v>
      </c>
      <c r="N28" s="29">
        <v>2964</v>
      </c>
      <c r="O28" s="29">
        <v>2136</v>
      </c>
      <c r="P28" s="29">
        <v>25</v>
      </c>
      <c r="Q28" s="27">
        <v>222.08333333333334</v>
      </c>
      <c r="R28" s="27">
        <v>237.26111111111112</v>
      </c>
      <c r="S28" s="27">
        <v>209.42777777777778</v>
      </c>
      <c r="T28" s="27">
        <v>241.97777777777779</v>
      </c>
      <c r="U28" s="27">
        <v>225.1</v>
      </c>
      <c r="V28" s="27">
        <v>224.66666666666666</v>
      </c>
      <c r="W28" s="27">
        <v>270.5888888888889</v>
      </c>
      <c r="X28" s="27">
        <v>230.65</v>
      </c>
      <c r="Y28" s="27">
        <v>239.23333333333332</v>
      </c>
      <c r="Z28" s="27">
        <v>243</v>
      </c>
      <c r="AA28" s="27">
        <v>276.02222222222224</v>
      </c>
      <c r="AB28" s="27">
        <v>238.13888888888889</v>
      </c>
      <c r="AC28" s="27">
        <v>251.17222222222222</v>
      </c>
      <c r="AD28" s="27">
        <v>1409.0222222222224</v>
      </c>
      <c r="AE28" s="27">
        <v>469.88333333333333</v>
      </c>
      <c r="AF28" s="27">
        <v>1008.3333333333334</v>
      </c>
      <c r="AG28" s="27">
        <v>2100.9888888888891</v>
      </c>
      <c r="AH28" s="27">
        <v>2887.2388888888891</v>
      </c>
      <c r="AI28" s="27">
        <v>3109.3222222222221</v>
      </c>
      <c r="AJ28" s="28">
        <v>391.55</v>
      </c>
      <c r="AK28" s="28">
        <v>25.6</v>
      </c>
      <c r="AL28" s="28">
        <v>417.15000000000003</v>
      </c>
      <c r="AM28" s="29">
        <v>225</v>
      </c>
      <c r="AN28" s="35">
        <v>227</v>
      </c>
      <c r="AO28" s="27">
        <v>245</v>
      </c>
      <c r="AP28" s="27">
        <v>220</v>
      </c>
      <c r="AQ28" s="27">
        <v>245</v>
      </c>
      <c r="AR28" s="27">
        <v>232</v>
      </c>
      <c r="AS28" s="27">
        <v>240</v>
      </c>
      <c r="AT28" s="27">
        <v>275</v>
      </c>
      <c r="AU28" s="27">
        <v>247</v>
      </c>
      <c r="AV28" s="27">
        <v>252</v>
      </c>
      <c r="AW28" s="27">
        <v>248</v>
      </c>
      <c r="AX28" s="27">
        <v>278</v>
      </c>
      <c r="AY28" s="27">
        <v>237</v>
      </c>
      <c r="AZ28" s="27">
        <v>1409</v>
      </c>
      <c r="BA28" s="27">
        <v>522</v>
      </c>
      <c r="BB28" s="27">
        <v>1015</v>
      </c>
      <c r="BC28" s="27">
        <v>2156</v>
      </c>
      <c r="BD28" s="27">
        <v>2946</v>
      </c>
      <c r="BE28" s="27">
        <v>3171</v>
      </c>
      <c r="BF28" s="27">
        <v>200</v>
      </c>
      <c r="BG28" s="27">
        <v>25</v>
      </c>
      <c r="BH28" s="27">
        <v>2</v>
      </c>
      <c r="BI28" s="27">
        <v>1405</v>
      </c>
      <c r="BJ28" s="27">
        <v>400</v>
      </c>
      <c r="BK28" s="29">
        <v>31</v>
      </c>
      <c r="BL28" s="29">
        <v>431</v>
      </c>
      <c r="BM28" s="29">
        <v>274</v>
      </c>
      <c r="BN28" s="30">
        <v>9.7525700921754221E-2</v>
      </c>
      <c r="BO28" s="31">
        <v>206.23000000000002</v>
      </c>
      <c r="BP28" s="31">
        <v>196.25</v>
      </c>
      <c r="BQ28" s="31">
        <v>189.60500000000005</v>
      </c>
      <c r="BR28" s="31">
        <v>203.98999999999998</v>
      </c>
      <c r="BS28" s="32">
        <v>1</v>
      </c>
      <c r="BT28" s="32">
        <v>0</v>
      </c>
      <c r="BU28" s="33">
        <v>0</v>
      </c>
      <c r="BV28" s="33">
        <v>19.161110999999998</v>
      </c>
      <c r="BW28" s="33">
        <v>204.172222</v>
      </c>
      <c r="BX28" s="33">
        <v>223.33333333333334</v>
      </c>
      <c r="BY28" s="33">
        <v>221.18333333333334</v>
      </c>
      <c r="BZ28" s="33">
        <v>238.5</v>
      </c>
      <c r="CA28" s="33">
        <v>220.14444444444445</v>
      </c>
      <c r="CB28" s="33">
        <v>244.42777777777778</v>
      </c>
      <c r="CC28" s="33">
        <v>228.0611111111111</v>
      </c>
      <c r="CD28" s="33">
        <v>235.73333333333332</v>
      </c>
      <c r="CE28" s="33">
        <v>269.89444444444445</v>
      </c>
      <c r="CF28" s="33">
        <v>237.89444444444445</v>
      </c>
      <c r="CG28" s="33">
        <v>250.03888888888889</v>
      </c>
      <c r="CH28" s="33">
        <v>237.83333333333334</v>
      </c>
      <c r="CI28" s="33">
        <v>266.57777777777778</v>
      </c>
      <c r="CJ28" s="33">
        <v>223.13888888888889</v>
      </c>
      <c r="CK28" s="33">
        <v>1388.05</v>
      </c>
      <c r="CL28" s="33">
        <v>507.78888888888889</v>
      </c>
      <c r="CM28" s="33">
        <v>977.58888888888896</v>
      </c>
      <c r="CN28" s="33">
        <v>2119.172222222222</v>
      </c>
      <c r="CO28" s="33">
        <v>2873.4277777777779</v>
      </c>
      <c r="CP28" s="33">
        <v>3096.7611111111109</v>
      </c>
      <c r="CQ28" s="33">
        <v>394.4</v>
      </c>
      <c r="CR28" s="33">
        <v>32.716666666666697</v>
      </c>
      <c r="CS28" s="33">
        <v>427.11666666666667</v>
      </c>
      <c r="CT28" s="33">
        <v>32.716665999999996</v>
      </c>
      <c r="CU28" s="33">
        <v>216</v>
      </c>
      <c r="CV28" s="32">
        <v>17</v>
      </c>
      <c r="CW28" s="32">
        <v>233</v>
      </c>
      <c r="CX28" s="32">
        <v>214</v>
      </c>
      <c r="CY28" s="32">
        <v>235</v>
      </c>
      <c r="CZ28" s="32">
        <v>241</v>
      </c>
      <c r="DA28" s="32">
        <v>224</v>
      </c>
      <c r="DB28" s="32">
        <v>253</v>
      </c>
      <c r="DC28" s="32">
        <v>234</v>
      </c>
      <c r="DD28" s="32">
        <v>238</v>
      </c>
      <c r="DE28" s="32">
        <v>288</v>
      </c>
      <c r="DF28" s="32">
        <v>254</v>
      </c>
      <c r="DG28" s="32">
        <v>258</v>
      </c>
      <c r="DH28" s="32">
        <v>246</v>
      </c>
      <c r="DI28" s="32">
        <v>255</v>
      </c>
      <c r="DJ28" s="32">
        <v>1401</v>
      </c>
      <c r="DK28" s="32">
        <v>526</v>
      </c>
      <c r="DL28" s="32">
        <v>1013</v>
      </c>
      <c r="DM28" s="32">
        <v>2160</v>
      </c>
      <c r="DN28" s="32">
        <v>2940</v>
      </c>
      <c r="DO28" s="32">
        <v>3173</v>
      </c>
      <c r="DP28" s="32">
        <v>3</v>
      </c>
      <c r="DQ28" s="32">
        <v>1508</v>
      </c>
      <c r="DR28" s="32">
        <v>428</v>
      </c>
      <c r="DS28" s="32">
        <v>36</v>
      </c>
      <c r="DT28" s="32">
        <v>464</v>
      </c>
      <c r="DU28" s="32">
        <v>291</v>
      </c>
      <c r="DV28" s="33">
        <v>204.38</v>
      </c>
      <c r="DW28" s="33">
        <v>194.39999999999998</v>
      </c>
      <c r="DX28" s="33">
        <v>81.460000000000008</v>
      </c>
      <c r="DY28" s="33">
        <v>87.324999999999989</v>
      </c>
      <c r="DZ28" s="33">
        <v>0</v>
      </c>
      <c r="EA28" s="33">
        <v>211.14</v>
      </c>
      <c r="EB28" s="34">
        <v>0.10155325374367119</v>
      </c>
      <c r="EC28" s="32"/>
      <c r="ED28" s="32">
        <v>233</v>
      </c>
      <c r="EE28" s="32">
        <v>2937</v>
      </c>
      <c r="EF28" s="32"/>
      <c r="EG28" s="32"/>
      <c r="EH28" s="33"/>
      <c r="EI28" s="32">
        <v>3170</v>
      </c>
      <c r="EJ28" s="32">
        <v>60</v>
      </c>
      <c r="EK28" s="32">
        <v>457</v>
      </c>
      <c r="EL28" s="32">
        <v>517</v>
      </c>
      <c r="EM28" s="32">
        <v>420</v>
      </c>
      <c r="EN28" s="32">
        <v>37</v>
      </c>
      <c r="EO28" s="32">
        <v>4</v>
      </c>
      <c r="EP28" s="33">
        <v>127.56</v>
      </c>
      <c r="EQ28" s="33">
        <v>10.63</v>
      </c>
      <c r="ER28" s="33">
        <v>20.25</v>
      </c>
      <c r="ES28" s="33">
        <v>8.5</v>
      </c>
      <c r="ET28" s="33">
        <v>40.938000000000002</v>
      </c>
      <c r="EU28" s="33">
        <v>207.87799999999999</v>
      </c>
    </row>
    <row r="29" spans="1:151" ht="55.2" x14ac:dyDescent="0.3">
      <c r="A29" s="25">
        <v>28</v>
      </c>
      <c r="B29" s="26" t="s">
        <v>474</v>
      </c>
      <c r="C29" s="27" t="s">
        <v>674</v>
      </c>
      <c r="D29" s="27" t="s">
        <v>261</v>
      </c>
      <c r="E29" s="26" t="s">
        <v>504</v>
      </c>
      <c r="F29" s="26" t="s">
        <v>504</v>
      </c>
      <c r="G29" s="28">
        <v>124.67222222222222</v>
      </c>
      <c r="H29" s="28">
        <v>11.522222222222222</v>
      </c>
      <c r="I29" s="29">
        <v>110</v>
      </c>
      <c r="J29" s="29">
        <v>728</v>
      </c>
      <c r="K29" s="29">
        <v>263</v>
      </c>
      <c r="L29" s="29">
        <v>568</v>
      </c>
      <c r="M29" s="29">
        <v>1669</v>
      </c>
      <c r="N29" s="29">
        <v>1559</v>
      </c>
      <c r="O29" s="29">
        <v>1101</v>
      </c>
      <c r="P29" s="29">
        <v>8</v>
      </c>
      <c r="Q29" s="27">
        <v>106.64444444444445</v>
      </c>
      <c r="R29" s="27">
        <v>104.19444444444444</v>
      </c>
      <c r="S29" s="27">
        <v>96.6</v>
      </c>
      <c r="T29" s="27">
        <v>107.39444444444445</v>
      </c>
      <c r="U29" s="27">
        <v>140.37777777777777</v>
      </c>
      <c r="V29" s="27">
        <v>128.31666666666666</v>
      </c>
      <c r="W29" s="27">
        <v>151.12777777777777</v>
      </c>
      <c r="X29" s="27">
        <v>115.29444444444445</v>
      </c>
      <c r="Y29" s="27">
        <v>144.3111111111111</v>
      </c>
      <c r="Z29" s="27">
        <v>150.97222222222223</v>
      </c>
      <c r="AA29" s="27">
        <v>147.27222222222221</v>
      </c>
      <c r="AB29" s="27">
        <v>141.51111111111112</v>
      </c>
      <c r="AC29" s="27">
        <v>122.3</v>
      </c>
      <c r="AD29" s="27">
        <v>728.01111111111095</v>
      </c>
      <c r="AE29" s="27">
        <v>259.60555555555555</v>
      </c>
      <c r="AF29" s="27">
        <v>562.05555555555554</v>
      </c>
      <c r="AG29" s="27">
        <v>1094.2611111111112</v>
      </c>
      <c r="AH29" s="27">
        <v>1549.672222222222</v>
      </c>
      <c r="AI29" s="27">
        <v>1656.3166666666666</v>
      </c>
      <c r="AJ29" s="28">
        <v>147.9</v>
      </c>
      <c r="AK29" s="28">
        <v>11.138888888888889</v>
      </c>
      <c r="AL29" s="28">
        <v>159.03888888888889</v>
      </c>
      <c r="AM29" s="29">
        <v>94</v>
      </c>
      <c r="AN29" s="35">
        <v>101</v>
      </c>
      <c r="AO29" s="27">
        <v>111</v>
      </c>
      <c r="AP29" s="27">
        <v>102</v>
      </c>
      <c r="AQ29" s="27">
        <v>108</v>
      </c>
      <c r="AR29" s="27">
        <v>140</v>
      </c>
      <c r="AS29" s="27">
        <v>121</v>
      </c>
      <c r="AT29" s="27">
        <v>161</v>
      </c>
      <c r="AU29" s="27">
        <v>113</v>
      </c>
      <c r="AV29" s="27">
        <v>151</v>
      </c>
      <c r="AW29" s="27">
        <v>154</v>
      </c>
      <c r="AX29" s="27">
        <v>136</v>
      </c>
      <c r="AY29" s="27">
        <v>140</v>
      </c>
      <c r="AZ29" s="27">
        <v>683</v>
      </c>
      <c r="BA29" s="27">
        <v>274</v>
      </c>
      <c r="BB29" s="27">
        <v>581</v>
      </c>
      <c r="BC29" s="27">
        <v>1051</v>
      </c>
      <c r="BD29" s="27">
        <v>1538</v>
      </c>
      <c r="BE29" s="27">
        <v>1632</v>
      </c>
      <c r="BF29" s="27">
        <v>94</v>
      </c>
      <c r="BG29" s="27">
        <v>0</v>
      </c>
      <c r="BH29" s="27">
        <v>0</v>
      </c>
      <c r="BI29" s="27">
        <v>273</v>
      </c>
      <c r="BJ29" s="27">
        <v>149</v>
      </c>
      <c r="BK29" s="29">
        <v>9</v>
      </c>
      <c r="BL29" s="29">
        <v>158</v>
      </c>
      <c r="BM29" s="29">
        <v>108</v>
      </c>
      <c r="BN29" s="30">
        <v>9.3910039036773252E-2</v>
      </c>
      <c r="BO29" s="31">
        <v>108.51</v>
      </c>
      <c r="BP29" s="31">
        <v>102.06</v>
      </c>
      <c r="BQ29" s="31">
        <v>96.06</v>
      </c>
      <c r="BR29" s="31">
        <v>108.50999999999999</v>
      </c>
      <c r="BS29" s="32">
        <v>0</v>
      </c>
      <c r="BT29" s="32">
        <v>0</v>
      </c>
      <c r="BU29" s="33">
        <v>0</v>
      </c>
      <c r="BV29" s="33">
        <v>0</v>
      </c>
      <c r="BW29" s="33">
        <v>92.733333000000002</v>
      </c>
      <c r="BX29" s="33">
        <v>92.733333333333334</v>
      </c>
      <c r="BY29" s="33">
        <v>101.78888888888889</v>
      </c>
      <c r="BZ29" s="33">
        <v>109.22222222222223</v>
      </c>
      <c r="CA29" s="33">
        <v>100.57222222222222</v>
      </c>
      <c r="CB29" s="33">
        <v>107.53888888888889</v>
      </c>
      <c r="CC29" s="33">
        <v>139.60555555555555</v>
      </c>
      <c r="CD29" s="33">
        <v>119.60555555555555</v>
      </c>
      <c r="CE29" s="33">
        <v>158.11666666666667</v>
      </c>
      <c r="CF29" s="33">
        <v>112.51666666666667</v>
      </c>
      <c r="CG29" s="33">
        <v>146.36111111111111</v>
      </c>
      <c r="CH29" s="33">
        <v>152.68333333333334</v>
      </c>
      <c r="CI29" s="33">
        <v>133.85</v>
      </c>
      <c r="CJ29" s="33">
        <v>138.03333333333333</v>
      </c>
      <c r="CK29" s="33">
        <v>678.33333333333348</v>
      </c>
      <c r="CL29" s="33">
        <v>270.63333333333333</v>
      </c>
      <c r="CM29" s="33">
        <v>570.92777777777781</v>
      </c>
      <c r="CN29" s="33">
        <v>1041.7000000000003</v>
      </c>
      <c r="CO29" s="33">
        <v>1519.8944444444446</v>
      </c>
      <c r="CP29" s="33">
        <v>1612.627777777778</v>
      </c>
      <c r="CQ29" s="33">
        <v>160.85</v>
      </c>
      <c r="CR29" s="33">
        <v>13.338888888888899</v>
      </c>
      <c r="CS29" s="33">
        <v>174.1888888888889</v>
      </c>
      <c r="CT29" s="33">
        <v>0</v>
      </c>
      <c r="CU29" s="33">
        <v>86</v>
      </c>
      <c r="CV29" s="32">
        <v>0</v>
      </c>
      <c r="CW29" s="32">
        <v>86</v>
      </c>
      <c r="CX29" s="32">
        <v>94</v>
      </c>
      <c r="CY29" s="32">
        <v>99</v>
      </c>
      <c r="CZ29" s="32">
        <v>111</v>
      </c>
      <c r="DA29" s="32">
        <v>101</v>
      </c>
      <c r="DB29" s="32">
        <v>110</v>
      </c>
      <c r="DC29" s="32">
        <v>143</v>
      </c>
      <c r="DD29" s="32">
        <v>119</v>
      </c>
      <c r="DE29" s="32">
        <v>157</v>
      </c>
      <c r="DF29" s="32">
        <v>123</v>
      </c>
      <c r="DG29" s="32">
        <v>153</v>
      </c>
      <c r="DH29" s="32">
        <v>153</v>
      </c>
      <c r="DI29" s="32">
        <v>124</v>
      </c>
      <c r="DJ29" s="32">
        <v>658</v>
      </c>
      <c r="DK29" s="32">
        <v>276</v>
      </c>
      <c r="DL29" s="32">
        <v>553</v>
      </c>
      <c r="DM29" s="32">
        <v>1020</v>
      </c>
      <c r="DN29" s="32">
        <v>1487</v>
      </c>
      <c r="DO29" s="32">
        <v>1573</v>
      </c>
      <c r="DP29" s="32">
        <v>0</v>
      </c>
      <c r="DQ29" s="32">
        <v>251</v>
      </c>
      <c r="DR29" s="32">
        <v>156</v>
      </c>
      <c r="DS29" s="32">
        <v>13</v>
      </c>
      <c r="DT29" s="32">
        <v>169</v>
      </c>
      <c r="DU29" s="32">
        <v>121</v>
      </c>
      <c r="DV29" s="33">
        <v>108.77</v>
      </c>
      <c r="DW29" s="33">
        <v>102.02</v>
      </c>
      <c r="DX29" s="33">
        <v>38.049999999999997</v>
      </c>
      <c r="DY29" s="33">
        <v>47.064999999999991</v>
      </c>
      <c r="DZ29" s="33">
        <v>0.1</v>
      </c>
      <c r="EA29" s="33">
        <v>113.57</v>
      </c>
      <c r="EB29" s="34">
        <v>9.0797607178464579E-2</v>
      </c>
      <c r="EC29" s="32"/>
      <c r="ED29" s="32">
        <v>83</v>
      </c>
      <c r="EE29" s="32">
        <v>1442</v>
      </c>
      <c r="EF29" s="32"/>
      <c r="EG29" s="32"/>
      <c r="EH29" s="33"/>
      <c r="EI29" s="32">
        <v>1525</v>
      </c>
      <c r="EJ29" s="32">
        <v>16</v>
      </c>
      <c r="EK29" s="32">
        <v>173</v>
      </c>
      <c r="EL29" s="32">
        <v>189</v>
      </c>
      <c r="EM29" s="32">
        <v>155</v>
      </c>
      <c r="EN29" s="32">
        <v>18</v>
      </c>
      <c r="EO29" s="32">
        <v>0</v>
      </c>
      <c r="EP29" s="33">
        <v>38.72</v>
      </c>
      <c r="EQ29" s="33">
        <v>1.58</v>
      </c>
      <c r="ER29" s="33">
        <v>8.64</v>
      </c>
      <c r="ES29" s="33">
        <v>3.28</v>
      </c>
      <c r="ET29" s="33">
        <v>14.7</v>
      </c>
      <c r="EU29" s="33">
        <v>66.92</v>
      </c>
    </row>
    <row r="30" spans="1:151" ht="27.6" x14ac:dyDescent="0.3">
      <c r="A30" s="25">
        <v>29</v>
      </c>
      <c r="B30" s="26" t="s">
        <v>475</v>
      </c>
      <c r="C30" s="27" t="s">
        <v>675</v>
      </c>
      <c r="D30" s="27" t="s">
        <v>261</v>
      </c>
      <c r="E30" s="26" t="s">
        <v>504</v>
      </c>
      <c r="F30" s="26" t="s">
        <v>504</v>
      </c>
      <c r="G30" s="28">
        <v>19.783333333333335</v>
      </c>
      <c r="H30" s="28">
        <v>3.1</v>
      </c>
      <c r="I30" s="29">
        <v>16</v>
      </c>
      <c r="J30" s="29">
        <v>93</v>
      </c>
      <c r="K30" s="29">
        <v>54</v>
      </c>
      <c r="L30" s="29">
        <v>91</v>
      </c>
      <c r="M30" s="29">
        <v>254</v>
      </c>
      <c r="N30" s="29">
        <v>238</v>
      </c>
      <c r="O30" s="29">
        <v>163</v>
      </c>
      <c r="P30" s="29">
        <v>3</v>
      </c>
      <c r="Q30" s="27">
        <v>16.205555555555556</v>
      </c>
      <c r="R30" s="27">
        <v>15.438888888888888</v>
      </c>
      <c r="S30" s="27">
        <v>13.361111111111111</v>
      </c>
      <c r="T30" s="27">
        <v>13.377777777777778</v>
      </c>
      <c r="U30" s="27">
        <v>17.95</v>
      </c>
      <c r="V30" s="27">
        <v>15.383333333333333</v>
      </c>
      <c r="W30" s="27">
        <v>15.794444444444444</v>
      </c>
      <c r="X30" s="27">
        <v>28.483333333333334</v>
      </c>
      <c r="Y30" s="27">
        <v>26.611111111111111</v>
      </c>
      <c r="Z30" s="27">
        <v>20.727777777777778</v>
      </c>
      <c r="AA30" s="27">
        <v>28.18888888888889</v>
      </c>
      <c r="AB30" s="27">
        <v>19.866666666666667</v>
      </c>
      <c r="AC30" s="27">
        <v>20.06111111111111</v>
      </c>
      <c r="AD30" s="27">
        <v>91.305555555555571</v>
      </c>
      <c r="AE30" s="27">
        <v>55.094444444444449</v>
      </c>
      <c r="AF30" s="27">
        <v>88.844444444444434</v>
      </c>
      <c r="AG30" s="27">
        <v>162.60555555555558</v>
      </c>
      <c r="AH30" s="27">
        <v>235.24444444444447</v>
      </c>
      <c r="AI30" s="27">
        <v>251.45000000000005</v>
      </c>
      <c r="AJ30" s="28">
        <v>22.461111111111112</v>
      </c>
      <c r="AK30" s="28">
        <v>2.3722222222222222</v>
      </c>
      <c r="AL30" s="28">
        <v>24.833333333333336</v>
      </c>
      <c r="AM30" s="29">
        <v>15</v>
      </c>
      <c r="AN30" s="35">
        <v>17</v>
      </c>
      <c r="AO30" s="27">
        <v>16</v>
      </c>
      <c r="AP30" s="27">
        <v>16</v>
      </c>
      <c r="AQ30" s="27">
        <v>12</v>
      </c>
      <c r="AR30" s="27">
        <v>18</v>
      </c>
      <c r="AS30" s="27">
        <v>21</v>
      </c>
      <c r="AT30" s="27">
        <v>17</v>
      </c>
      <c r="AU30" s="27">
        <v>30</v>
      </c>
      <c r="AV30" s="27">
        <v>30</v>
      </c>
      <c r="AW30" s="27">
        <v>20</v>
      </c>
      <c r="AX30" s="27">
        <v>29</v>
      </c>
      <c r="AY30" s="27">
        <v>21</v>
      </c>
      <c r="AZ30" s="27">
        <v>100</v>
      </c>
      <c r="BA30" s="27">
        <v>47</v>
      </c>
      <c r="BB30" s="27">
        <v>100</v>
      </c>
      <c r="BC30" s="27">
        <v>162</v>
      </c>
      <c r="BD30" s="27">
        <v>247</v>
      </c>
      <c r="BE30" s="27">
        <v>262</v>
      </c>
      <c r="BF30" s="27">
        <v>15</v>
      </c>
      <c r="BG30" s="27">
        <v>0</v>
      </c>
      <c r="BH30" s="27">
        <v>0</v>
      </c>
      <c r="BI30" s="27">
        <v>101</v>
      </c>
      <c r="BJ30" s="27">
        <v>35</v>
      </c>
      <c r="BK30" s="29">
        <v>4</v>
      </c>
      <c r="BL30" s="29">
        <v>39</v>
      </c>
      <c r="BM30" s="29">
        <v>0</v>
      </c>
      <c r="BN30" s="30">
        <v>8.4019402202412163E-2</v>
      </c>
      <c r="BO30" s="31">
        <v>24.000000000000004</v>
      </c>
      <c r="BP30" s="31">
        <v>21.700000000000003</v>
      </c>
      <c r="BQ30" s="31">
        <v>21.6</v>
      </c>
      <c r="BR30" s="31">
        <v>26</v>
      </c>
      <c r="BS30" s="32">
        <v>0</v>
      </c>
      <c r="BT30" s="32">
        <v>0</v>
      </c>
      <c r="BU30" s="33">
        <v>0</v>
      </c>
      <c r="BV30" s="33">
        <v>0</v>
      </c>
      <c r="BW30" s="33">
        <v>14.95</v>
      </c>
      <c r="BX30" s="33">
        <v>14.95</v>
      </c>
      <c r="BY30" s="33">
        <v>16.899999999999999</v>
      </c>
      <c r="BZ30" s="33">
        <v>15.85</v>
      </c>
      <c r="CA30" s="33">
        <v>15.888888888888889</v>
      </c>
      <c r="CB30" s="33">
        <v>12.622222222222222</v>
      </c>
      <c r="CC30" s="33">
        <v>17.211111111111112</v>
      </c>
      <c r="CD30" s="33">
        <v>20.305555555555557</v>
      </c>
      <c r="CE30" s="33">
        <v>16</v>
      </c>
      <c r="CF30" s="33">
        <v>29.138888888888889</v>
      </c>
      <c r="CG30" s="33">
        <v>29.4</v>
      </c>
      <c r="CH30" s="33">
        <v>18.655555555555555</v>
      </c>
      <c r="CI30" s="33">
        <v>28.011111111111113</v>
      </c>
      <c r="CJ30" s="33">
        <v>17.772222222222222</v>
      </c>
      <c r="CK30" s="33">
        <v>98.777777777777771</v>
      </c>
      <c r="CL30" s="33">
        <v>45.138888888888886</v>
      </c>
      <c r="CM30" s="33">
        <v>93.838888888888889</v>
      </c>
      <c r="CN30" s="33">
        <v>158.86666666666665</v>
      </c>
      <c r="CO30" s="33">
        <v>237.75555555555556</v>
      </c>
      <c r="CP30" s="33">
        <v>252.70555555555555</v>
      </c>
      <c r="CQ30" s="33">
        <v>33.622222222222199</v>
      </c>
      <c r="CR30" s="33">
        <v>3.0777777777777802</v>
      </c>
      <c r="CS30" s="33">
        <v>36.699999999999982</v>
      </c>
      <c r="CT30" s="33">
        <v>0</v>
      </c>
      <c r="CU30" s="33">
        <v>10</v>
      </c>
      <c r="CV30" s="32">
        <v>0</v>
      </c>
      <c r="CW30" s="32">
        <v>10</v>
      </c>
      <c r="CX30" s="32">
        <v>16</v>
      </c>
      <c r="CY30" s="32">
        <v>18</v>
      </c>
      <c r="CZ30" s="32">
        <v>16</v>
      </c>
      <c r="DA30" s="32">
        <v>16</v>
      </c>
      <c r="DB30" s="32">
        <v>13</v>
      </c>
      <c r="DC30" s="32">
        <v>22</v>
      </c>
      <c r="DD30" s="32">
        <v>28</v>
      </c>
      <c r="DE30" s="32">
        <v>17</v>
      </c>
      <c r="DF30" s="32">
        <v>28</v>
      </c>
      <c r="DG30" s="32">
        <v>29</v>
      </c>
      <c r="DH30" s="32">
        <v>18</v>
      </c>
      <c r="DI30" s="32">
        <v>31</v>
      </c>
      <c r="DJ30" s="32">
        <v>101</v>
      </c>
      <c r="DK30" s="32">
        <v>45</v>
      </c>
      <c r="DL30" s="32">
        <v>106</v>
      </c>
      <c r="DM30" s="32">
        <v>156</v>
      </c>
      <c r="DN30" s="32">
        <v>252</v>
      </c>
      <c r="DO30" s="32">
        <v>262</v>
      </c>
      <c r="DP30" s="32">
        <v>0</v>
      </c>
      <c r="DQ30" s="32">
        <v>98</v>
      </c>
      <c r="DR30" s="32">
        <v>34</v>
      </c>
      <c r="DS30" s="32">
        <v>2</v>
      </c>
      <c r="DT30" s="32">
        <v>36</v>
      </c>
      <c r="DU30" s="32">
        <v>0</v>
      </c>
      <c r="DV30" s="33">
        <v>24.349999999999998</v>
      </c>
      <c r="DW30" s="33">
        <v>22.249999999999996</v>
      </c>
      <c r="DX30" s="33">
        <v>9.6</v>
      </c>
      <c r="DY30" s="33">
        <v>11.125</v>
      </c>
      <c r="DZ30" s="33">
        <v>0.5</v>
      </c>
      <c r="EA30" s="33">
        <v>26.85</v>
      </c>
      <c r="EB30" s="34">
        <v>9.1904047976011927E-2</v>
      </c>
      <c r="EC30" s="32"/>
      <c r="ED30" s="32">
        <v>10</v>
      </c>
      <c r="EE30" s="32">
        <v>257</v>
      </c>
      <c r="EF30" s="32"/>
      <c r="EG30" s="32"/>
      <c r="EH30" s="33"/>
      <c r="EI30" s="32">
        <v>267</v>
      </c>
      <c r="EJ30" s="32">
        <v>1</v>
      </c>
      <c r="EK30" s="32">
        <v>37</v>
      </c>
      <c r="EL30" s="32">
        <v>38</v>
      </c>
      <c r="EM30" s="32">
        <v>34</v>
      </c>
      <c r="EN30" s="32">
        <v>3</v>
      </c>
      <c r="EO30" s="32">
        <v>3</v>
      </c>
      <c r="EP30" s="33">
        <v>9.4659999999999993</v>
      </c>
      <c r="EQ30" s="33">
        <v>0</v>
      </c>
      <c r="ER30" s="33">
        <v>3</v>
      </c>
      <c r="ES30" s="33">
        <v>0.90600000000000003</v>
      </c>
      <c r="ET30" s="33">
        <v>9.4359999999999999</v>
      </c>
      <c r="EU30" s="33">
        <v>22.808</v>
      </c>
    </row>
    <row r="31" spans="1:151" ht="27.6" x14ac:dyDescent="0.3">
      <c r="A31" s="25">
        <v>30</v>
      </c>
      <c r="B31" s="26" t="s">
        <v>478</v>
      </c>
      <c r="C31" s="27" t="s">
        <v>676</v>
      </c>
      <c r="D31" s="27" t="s">
        <v>261</v>
      </c>
      <c r="E31" s="26" t="s">
        <v>504</v>
      </c>
      <c r="F31" s="26" t="s">
        <v>504</v>
      </c>
      <c r="G31" s="28">
        <v>2091.2333333333331</v>
      </c>
      <c r="H31" s="28">
        <v>232.64444444444445</v>
      </c>
      <c r="I31" s="29">
        <v>1552</v>
      </c>
      <c r="J31" s="29">
        <v>11260</v>
      </c>
      <c r="K31" s="29">
        <v>3619</v>
      </c>
      <c r="L31" s="29">
        <v>7397</v>
      </c>
      <c r="M31" s="29">
        <v>23828</v>
      </c>
      <c r="N31" s="29">
        <v>22276</v>
      </c>
      <c r="O31" s="29">
        <v>16431</v>
      </c>
      <c r="P31" s="29">
        <v>167</v>
      </c>
      <c r="Q31" s="27">
        <v>1539.8722222222223</v>
      </c>
      <c r="R31" s="27">
        <v>1817.0333333333333</v>
      </c>
      <c r="S31" s="27">
        <v>1799.7166666666667</v>
      </c>
      <c r="T31" s="27">
        <v>1885.95</v>
      </c>
      <c r="U31" s="27">
        <v>1899.85</v>
      </c>
      <c r="V31" s="27">
        <v>1879.7666666666667</v>
      </c>
      <c r="W31" s="27">
        <v>1854.2111111111112</v>
      </c>
      <c r="X31" s="27">
        <v>1773.0277777777778</v>
      </c>
      <c r="Y31" s="27">
        <v>1783.8333333333333</v>
      </c>
      <c r="Z31" s="27">
        <v>2016.5166666666667</v>
      </c>
      <c r="AA31" s="27">
        <v>1877.2388888888888</v>
      </c>
      <c r="AB31" s="27">
        <v>1752.3111111111111</v>
      </c>
      <c r="AC31" s="27">
        <v>1456.4833333333333</v>
      </c>
      <c r="AD31" s="27">
        <v>11136.527777777777</v>
      </c>
      <c r="AE31" s="27">
        <v>3556.8611111111113</v>
      </c>
      <c r="AF31" s="27">
        <v>7102.55</v>
      </c>
      <c r="AG31" s="27">
        <v>16233.261111111111</v>
      </c>
      <c r="AH31" s="27">
        <v>21795.93888888889</v>
      </c>
      <c r="AI31" s="27">
        <v>23335.81111111111</v>
      </c>
      <c r="AJ31" s="28">
        <v>2157.4722222222222</v>
      </c>
      <c r="AK31" s="28">
        <v>237.97222222222223</v>
      </c>
      <c r="AL31" s="28">
        <v>2395.4444444444443</v>
      </c>
      <c r="AM31" s="29">
        <v>967</v>
      </c>
      <c r="AN31" s="35">
        <v>977</v>
      </c>
      <c r="AO31" s="27">
        <v>1083</v>
      </c>
      <c r="AP31" s="27">
        <v>1103</v>
      </c>
      <c r="AQ31" s="27">
        <v>1138</v>
      </c>
      <c r="AR31" s="27">
        <v>1158</v>
      </c>
      <c r="AS31" s="27">
        <v>1086</v>
      </c>
      <c r="AT31" s="27">
        <v>1165</v>
      </c>
      <c r="AU31" s="27">
        <v>1138</v>
      </c>
      <c r="AV31" s="27">
        <v>1480</v>
      </c>
      <c r="AW31" s="27">
        <v>1508</v>
      </c>
      <c r="AX31" s="27">
        <v>1469</v>
      </c>
      <c r="AY31" s="27">
        <v>1316</v>
      </c>
      <c r="AZ31" s="27">
        <v>6545</v>
      </c>
      <c r="BA31" s="27">
        <v>2303</v>
      </c>
      <c r="BB31" s="27">
        <v>5773</v>
      </c>
      <c r="BC31" s="27">
        <v>9815</v>
      </c>
      <c r="BD31" s="27">
        <v>14621</v>
      </c>
      <c r="BE31" s="27">
        <v>15588</v>
      </c>
      <c r="BF31" s="27">
        <v>845</v>
      </c>
      <c r="BG31" s="27">
        <v>122</v>
      </c>
      <c r="BH31" s="27">
        <v>16</v>
      </c>
      <c r="BI31" s="27">
        <v>4720</v>
      </c>
      <c r="BJ31" s="27">
        <v>1997</v>
      </c>
      <c r="BK31" s="29">
        <v>241</v>
      </c>
      <c r="BL31" s="29">
        <v>2238</v>
      </c>
      <c r="BM31" s="29">
        <v>1223</v>
      </c>
      <c r="BN31" s="30">
        <v>8.7874472544549109E-2</v>
      </c>
      <c r="BO31" s="31">
        <v>959.0740000000003</v>
      </c>
      <c r="BP31" s="31">
        <v>910.44900000000018</v>
      </c>
      <c r="BQ31" s="31">
        <v>863.70100000000014</v>
      </c>
      <c r="BR31" s="31">
        <v>940.67399999999975</v>
      </c>
      <c r="BS31" s="32">
        <v>0</v>
      </c>
      <c r="BT31" s="32">
        <v>87</v>
      </c>
      <c r="BU31" s="33">
        <v>8236.4</v>
      </c>
      <c r="BV31" s="33">
        <v>119.488888</v>
      </c>
      <c r="BW31" s="33">
        <v>834.15555500000005</v>
      </c>
      <c r="BX31" s="33">
        <v>953.64444444444439</v>
      </c>
      <c r="BY31" s="33">
        <v>968.39444444444439</v>
      </c>
      <c r="BZ31" s="33">
        <v>1074.1111111111111</v>
      </c>
      <c r="CA31" s="33">
        <v>1095.1111111111111</v>
      </c>
      <c r="CB31" s="33">
        <v>1117.2944444444445</v>
      </c>
      <c r="CC31" s="33">
        <v>1157.0111111111112</v>
      </c>
      <c r="CD31" s="33">
        <v>1061.6888888888889</v>
      </c>
      <c r="CE31" s="33">
        <v>1133.9222222222222</v>
      </c>
      <c r="CF31" s="33">
        <v>1105.7833333333333</v>
      </c>
      <c r="CG31" s="33">
        <v>1428.9277777777777</v>
      </c>
      <c r="CH31" s="33">
        <v>1454.3833333333334</v>
      </c>
      <c r="CI31" s="33">
        <v>1405.8333333333333</v>
      </c>
      <c r="CJ31" s="33">
        <v>1209.1722222222222</v>
      </c>
      <c r="CK31" s="33">
        <v>6473.6111111111113</v>
      </c>
      <c r="CL31" s="33">
        <v>2239.7055555555553</v>
      </c>
      <c r="CM31" s="33">
        <v>5498.3166666666666</v>
      </c>
      <c r="CN31" s="33">
        <v>9666.9611111111099</v>
      </c>
      <c r="CO31" s="33">
        <v>14211.633333333333</v>
      </c>
      <c r="CP31" s="33">
        <v>15165.277777777776</v>
      </c>
      <c r="CQ31" s="33">
        <v>1982.44444444444</v>
      </c>
      <c r="CR31" s="33">
        <v>260.694444444444</v>
      </c>
      <c r="CS31" s="33">
        <v>2243.1388888888841</v>
      </c>
      <c r="CT31" s="33">
        <v>423.50555500000002</v>
      </c>
      <c r="CU31" s="33">
        <v>887</v>
      </c>
      <c r="CV31" s="32">
        <v>71</v>
      </c>
      <c r="CW31" s="32">
        <v>958</v>
      </c>
      <c r="CX31" s="32">
        <v>999</v>
      </c>
      <c r="CY31" s="32">
        <v>1008</v>
      </c>
      <c r="CZ31" s="32">
        <v>1128</v>
      </c>
      <c r="DA31" s="32">
        <v>1137</v>
      </c>
      <c r="DB31" s="32">
        <v>1158</v>
      </c>
      <c r="DC31" s="32">
        <v>1199</v>
      </c>
      <c r="DD31" s="32">
        <v>1110</v>
      </c>
      <c r="DE31" s="32">
        <v>1151</v>
      </c>
      <c r="DF31" s="32">
        <v>1439</v>
      </c>
      <c r="DG31" s="32">
        <v>1465</v>
      </c>
      <c r="DH31" s="32">
        <v>1469</v>
      </c>
      <c r="DI31" s="32">
        <v>1398</v>
      </c>
      <c r="DJ31" s="32">
        <v>6629</v>
      </c>
      <c r="DK31" s="32">
        <v>2261</v>
      </c>
      <c r="DL31" s="32">
        <v>5771</v>
      </c>
      <c r="DM31" s="32">
        <v>9848</v>
      </c>
      <c r="DN31" s="32">
        <v>14661</v>
      </c>
      <c r="DO31" s="32">
        <v>15619</v>
      </c>
      <c r="DP31" s="32">
        <v>20</v>
      </c>
      <c r="DQ31" s="32">
        <v>3886</v>
      </c>
      <c r="DR31" s="32">
        <v>1997</v>
      </c>
      <c r="DS31" s="32">
        <v>292</v>
      </c>
      <c r="DT31" s="32">
        <v>2289</v>
      </c>
      <c r="DU31" s="32">
        <v>1218</v>
      </c>
      <c r="DV31" s="33">
        <v>945.06200000000013</v>
      </c>
      <c r="DW31" s="33">
        <v>897.73700000000008</v>
      </c>
      <c r="DX31" s="33">
        <v>398.81799999999993</v>
      </c>
      <c r="DY31" s="33">
        <v>375.1689999999997</v>
      </c>
      <c r="DZ31" s="33">
        <v>3</v>
      </c>
      <c r="EA31" s="33">
        <v>962.43200000000013</v>
      </c>
      <c r="EB31" s="34">
        <v>8.6610900850361661E-2</v>
      </c>
      <c r="EC31" s="32"/>
      <c r="ED31" s="32">
        <v>971</v>
      </c>
      <c r="EE31" s="32">
        <v>14856</v>
      </c>
      <c r="EF31" s="32"/>
      <c r="EG31" s="32"/>
      <c r="EH31" s="33"/>
      <c r="EI31" s="32">
        <v>15827</v>
      </c>
      <c r="EJ31" s="32">
        <v>173</v>
      </c>
      <c r="EK31" s="32">
        <v>2292</v>
      </c>
      <c r="EL31" s="32">
        <v>2465</v>
      </c>
      <c r="EM31" s="32">
        <v>1998</v>
      </c>
      <c r="EN31" s="32">
        <v>294</v>
      </c>
      <c r="EO31" s="32">
        <v>466</v>
      </c>
      <c r="EP31" s="33">
        <v>291.351</v>
      </c>
      <c r="EQ31" s="33">
        <v>20.315000000000001</v>
      </c>
      <c r="ER31" s="33">
        <v>71.674999999999997</v>
      </c>
      <c r="ES31" s="33">
        <v>25.1</v>
      </c>
      <c r="ET31" s="33">
        <v>291.26</v>
      </c>
      <c r="EU31" s="33">
        <v>699.70100000000002</v>
      </c>
    </row>
    <row r="32" spans="1:151" ht="41.4" x14ac:dyDescent="0.3">
      <c r="A32" s="25">
        <v>31</v>
      </c>
      <c r="B32" s="26" t="s">
        <v>476</v>
      </c>
      <c r="C32" s="27" t="s">
        <v>677</v>
      </c>
      <c r="D32" s="27" t="s">
        <v>261</v>
      </c>
      <c r="E32" s="26" t="s">
        <v>504</v>
      </c>
      <c r="F32" s="26" t="s">
        <v>504</v>
      </c>
      <c r="G32" s="28">
        <v>756.28888888888889</v>
      </c>
      <c r="H32" s="28">
        <v>138.1</v>
      </c>
      <c r="I32" s="29">
        <v>493</v>
      </c>
      <c r="J32" s="29">
        <v>3130</v>
      </c>
      <c r="K32" s="29">
        <v>1105</v>
      </c>
      <c r="L32" s="29">
        <v>2101</v>
      </c>
      <c r="M32" s="29">
        <v>6829</v>
      </c>
      <c r="N32" s="29">
        <v>6336</v>
      </c>
      <c r="O32" s="29">
        <v>4728</v>
      </c>
      <c r="P32" s="29">
        <v>159</v>
      </c>
      <c r="Q32" s="27">
        <v>465.51666666666665</v>
      </c>
      <c r="R32" s="27">
        <v>506.67777777777781</v>
      </c>
      <c r="S32" s="27">
        <v>496.61666666666667</v>
      </c>
      <c r="T32" s="27">
        <v>502.91666666666669</v>
      </c>
      <c r="U32" s="27">
        <v>526.02777777777783</v>
      </c>
      <c r="V32" s="27">
        <v>487.55555555555554</v>
      </c>
      <c r="W32" s="27">
        <v>527.98333333333335</v>
      </c>
      <c r="X32" s="27">
        <v>513.9666666666667</v>
      </c>
      <c r="Y32" s="27">
        <v>551.76666666666665</v>
      </c>
      <c r="Z32" s="27">
        <v>545.62222222222226</v>
      </c>
      <c r="AA32" s="27">
        <v>515.03888888888889</v>
      </c>
      <c r="AB32" s="27">
        <v>514.73888888888894</v>
      </c>
      <c r="AC32" s="27">
        <v>333.63888888888891</v>
      </c>
      <c r="AD32" s="27">
        <v>3047.7777777777783</v>
      </c>
      <c r="AE32" s="27">
        <v>1065.7333333333333</v>
      </c>
      <c r="AF32" s="27">
        <v>1909.038888888889</v>
      </c>
      <c r="AG32" s="27">
        <v>4579.0277777777783</v>
      </c>
      <c r="AH32" s="27">
        <v>6022.5500000000011</v>
      </c>
      <c r="AI32" s="27">
        <v>6488.0666666666675</v>
      </c>
      <c r="AJ32" s="28">
        <v>764.02222222222224</v>
      </c>
      <c r="AK32" s="28">
        <v>169.9388888888889</v>
      </c>
      <c r="AL32" s="28">
        <v>933.96111111111111</v>
      </c>
      <c r="AM32" s="29">
        <v>487</v>
      </c>
      <c r="AN32" s="35">
        <v>475</v>
      </c>
      <c r="AO32" s="27">
        <v>517</v>
      </c>
      <c r="AP32" s="27">
        <v>513</v>
      </c>
      <c r="AQ32" s="27">
        <v>505</v>
      </c>
      <c r="AR32" s="27">
        <v>540</v>
      </c>
      <c r="AS32" s="27">
        <v>493</v>
      </c>
      <c r="AT32" s="27">
        <v>525</v>
      </c>
      <c r="AU32" s="27">
        <v>533</v>
      </c>
      <c r="AV32" s="27">
        <v>569</v>
      </c>
      <c r="AW32" s="27">
        <v>569</v>
      </c>
      <c r="AX32" s="27">
        <v>517</v>
      </c>
      <c r="AY32" s="27">
        <v>506</v>
      </c>
      <c r="AZ32" s="27">
        <v>3043</v>
      </c>
      <c r="BA32" s="27">
        <v>1058</v>
      </c>
      <c r="BB32" s="27">
        <v>2161</v>
      </c>
      <c r="BC32" s="27">
        <v>4588</v>
      </c>
      <c r="BD32" s="27">
        <v>6262</v>
      </c>
      <c r="BE32" s="27">
        <v>6749</v>
      </c>
      <c r="BF32" s="27">
        <v>437</v>
      </c>
      <c r="BG32" s="27">
        <v>50</v>
      </c>
      <c r="BH32" s="27">
        <v>6</v>
      </c>
      <c r="BI32" s="27">
        <v>2796</v>
      </c>
      <c r="BJ32" s="27">
        <v>787</v>
      </c>
      <c r="BK32" s="29">
        <v>165</v>
      </c>
      <c r="BL32" s="29">
        <v>952</v>
      </c>
      <c r="BM32" s="29">
        <v>215</v>
      </c>
      <c r="BN32" s="30">
        <v>8.0887642587273212E-2</v>
      </c>
      <c r="BO32" s="31">
        <v>363.47900000000004</v>
      </c>
      <c r="BP32" s="31">
        <v>347.47900000000004</v>
      </c>
      <c r="BQ32" s="31">
        <v>312.02400000000006</v>
      </c>
      <c r="BR32" s="31">
        <v>347.80900000000003</v>
      </c>
      <c r="BS32" s="32">
        <v>190</v>
      </c>
      <c r="BT32" s="32">
        <v>15</v>
      </c>
      <c r="BU32" s="33">
        <v>192.78888799999999</v>
      </c>
      <c r="BV32" s="33">
        <v>21.261111</v>
      </c>
      <c r="BW32" s="33">
        <v>440.03888799999999</v>
      </c>
      <c r="BX32" s="33">
        <v>461.3</v>
      </c>
      <c r="BY32" s="33">
        <v>457.27777777777777</v>
      </c>
      <c r="BZ32" s="33">
        <v>501.27222222222224</v>
      </c>
      <c r="CA32" s="33">
        <v>491.05</v>
      </c>
      <c r="CB32" s="33">
        <v>495.86666666666667</v>
      </c>
      <c r="CC32" s="33">
        <v>520.13333333333333</v>
      </c>
      <c r="CD32" s="33">
        <v>471.43333333333334</v>
      </c>
      <c r="CE32" s="33">
        <v>510.6611111111111</v>
      </c>
      <c r="CF32" s="33">
        <v>501.96666666666664</v>
      </c>
      <c r="CG32" s="33">
        <v>540.62222222222226</v>
      </c>
      <c r="CH32" s="33">
        <v>544.31111111111113</v>
      </c>
      <c r="CI32" s="33">
        <v>482.4</v>
      </c>
      <c r="CJ32" s="33">
        <v>384.86666666666667</v>
      </c>
      <c r="CK32" s="33">
        <v>2937.0333333333333</v>
      </c>
      <c r="CL32" s="33">
        <v>1012.6277777777777</v>
      </c>
      <c r="CM32" s="33">
        <v>1952.2000000000003</v>
      </c>
      <c r="CN32" s="33">
        <v>4410.9611111111108</v>
      </c>
      <c r="CO32" s="33">
        <v>5901.8611111111104</v>
      </c>
      <c r="CP32" s="33">
        <v>6363.1611111111106</v>
      </c>
      <c r="CQ32" s="33">
        <v>787.33333333333303</v>
      </c>
      <c r="CR32" s="33">
        <v>160.07777777777801</v>
      </c>
      <c r="CS32" s="33">
        <v>947.41111111111104</v>
      </c>
      <c r="CT32" s="33">
        <v>182.86111099999999</v>
      </c>
      <c r="CU32" s="33">
        <v>392</v>
      </c>
      <c r="CV32" s="32">
        <v>26</v>
      </c>
      <c r="CW32" s="32">
        <v>418</v>
      </c>
      <c r="CX32" s="32">
        <v>450</v>
      </c>
      <c r="CY32" s="32">
        <v>444</v>
      </c>
      <c r="CZ32" s="32">
        <v>502</v>
      </c>
      <c r="DA32" s="32">
        <v>487</v>
      </c>
      <c r="DB32" s="32">
        <v>510</v>
      </c>
      <c r="DC32" s="32">
        <v>526</v>
      </c>
      <c r="DD32" s="32">
        <v>495</v>
      </c>
      <c r="DE32" s="32">
        <v>522</v>
      </c>
      <c r="DF32" s="32">
        <v>543</v>
      </c>
      <c r="DG32" s="32">
        <v>562</v>
      </c>
      <c r="DH32" s="32">
        <v>553</v>
      </c>
      <c r="DI32" s="32">
        <v>474</v>
      </c>
      <c r="DJ32" s="32">
        <v>2919</v>
      </c>
      <c r="DK32" s="32">
        <v>1017</v>
      </c>
      <c r="DL32" s="32">
        <v>2132</v>
      </c>
      <c r="DM32" s="32">
        <v>4354</v>
      </c>
      <c r="DN32" s="32">
        <v>6068</v>
      </c>
      <c r="DO32" s="32">
        <v>6486</v>
      </c>
      <c r="DP32" s="32">
        <v>9</v>
      </c>
      <c r="DQ32" s="32">
        <v>2485</v>
      </c>
      <c r="DR32" s="32">
        <v>836</v>
      </c>
      <c r="DS32" s="32">
        <v>158</v>
      </c>
      <c r="DT32" s="32">
        <v>994</v>
      </c>
      <c r="DU32" s="32">
        <v>202</v>
      </c>
      <c r="DV32" s="33">
        <v>354.375</v>
      </c>
      <c r="DW32" s="33">
        <v>337.375</v>
      </c>
      <c r="DX32" s="33">
        <v>156.78000000000003</v>
      </c>
      <c r="DY32" s="33">
        <v>126.42000000000003</v>
      </c>
      <c r="DZ32" s="33">
        <v>0</v>
      </c>
      <c r="EA32" s="33">
        <v>361.375</v>
      </c>
      <c r="EB32" s="34">
        <v>8.1004664285525885E-2</v>
      </c>
      <c r="EC32" s="32"/>
      <c r="ED32" s="32">
        <v>404</v>
      </c>
      <c r="EE32" s="32">
        <v>5872</v>
      </c>
      <c r="EF32" s="32"/>
      <c r="EG32" s="32"/>
      <c r="EH32" s="33"/>
      <c r="EI32" s="32">
        <v>6276</v>
      </c>
      <c r="EJ32" s="32">
        <v>136</v>
      </c>
      <c r="EK32" s="32">
        <v>976</v>
      </c>
      <c r="EL32" s="32">
        <v>1112</v>
      </c>
      <c r="EM32" s="32">
        <v>820</v>
      </c>
      <c r="EN32" s="32">
        <v>156</v>
      </c>
      <c r="EO32" s="32">
        <v>63</v>
      </c>
      <c r="EP32" s="33">
        <v>154.92500000000001</v>
      </c>
      <c r="EQ32" s="33">
        <v>10</v>
      </c>
      <c r="ER32" s="33">
        <v>35.225000000000001</v>
      </c>
      <c r="ES32" s="33">
        <v>34.731999999999999</v>
      </c>
      <c r="ET32" s="33">
        <v>137.05199999999999</v>
      </c>
      <c r="EU32" s="33">
        <v>371.93399999999997</v>
      </c>
    </row>
    <row r="33" spans="1:151" ht="41.4" x14ac:dyDescent="0.3">
      <c r="A33" s="25">
        <v>32</v>
      </c>
      <c r="B33" s="26" t="s">
        <v>477</v>
      </c>
      <c r="C33" s="27" t="s">
        <v>678</v>
      </c>
      <c r="D33" s="27" t="s">
        <v>261</v>
      </c>
      <c r="E33" s="26" t="s">
        <v>504</v>
      </c>
      <c r="F33" s="26" t="s">
        <v>504</v>
      </c>
      <c r="G33" s="28">
        <v>623.10555555555561</v>
      </c>
      <c r="H33" s="28">
        <v>69.75</v>
      </c>
      <c r="I33" s="29">
        <v>609</v>
      </c>
      <c r="J33" s="29">
        <v>4277</v>
      </c>
      <c r="K33" s="29">
        <v>1363</v>
      </c>
      <c r="L33" s="29">
        <v>2544</v>
      </c>
      <c r="M33" s="29">
        <v>8793</v>
      </c>
      <c r="N33" s="29">
        <v>8184</v>
      </c>
      <c r="O33" s="29">
        <v>6249</v>
      </c>
      <c r="P33" s="29">
        <v>61</v>
      </c>
      <c r="Q33" s="27">
        <v>613.67777777777781</v>
      </c>
      <c r="R33" s="27">
        <v>721.37222222222226</v>
      </c>
      <c r="S33" s="27">
        <v>702.71111111111111</v>
      </c>
      <c r="T33" s="27">
        <v>716.58888888888885</v>
      </c>
      <c r="U33" s="27">
        <v>723.04444444444448</v>
      </c>
      <c r="V33" s="27">
        <v>718.34444444444443</v>
      </c>
      <c r="W33" s="27">
        <v>701.0333333333333</v>
      </c>
      <c r="X33" s="27">
        <v>695.01111111111106</v>
      </c>
      <c r="Y33" s="27">
        <v>664.26666666666665</v>
      </c>
      <c r="Z33" s="27">
        <v>650.80555555555554</v>
      </c>
      <c r="AA33" s="27">
        <v>660.63333333333333</v>
      </c>
      <c r="AB33" s="27">
        <v>589.85555555555561</v>
      </c>
      <c r="AC33" s="27">
        <v>595.47777777777776</v>
      </c>
      <c r="AD33" s="27">
        <v>4283.0944444444449</v>
      </c>
      <c r="AE33" s="27">
        <v>1359.2777777777778</v>
      </c>
      <c r="AF33" s="27">
        <v>2496.7722222222224</v>
      </c>
      <c r="AG33" s="27">
        <v>6256.0499999999993</v>
      </c>
      <c r="AH33" s="27">
        <v>8139.1444444444451</v>
      </c>
      <c r="AI33" s="27">
        <v>8752.8222222222212</v>
      </c>
      <c r="AJ33" s="28">
        <v>640.81111111111113</v>
      </c>
      <c r="AK33" s="28">
        <v>56.75</v>
      </c>
      <c r="AL33" s="28">
        <v>697.56111111111113</v>
      </c>
      <c r="AM33" s="29">
        <v>564</v>
      </c>
      <c r="AN33" s="35">
        <v>640</v>
      </c>
      <c r="AO33" s="27">
        <v>713</v>
      </c>
      <c r="AP33" s="27">
        <v>679</v>
      </c>
      <c r="AQ33" s="27">
        <v>722</v>
      </c>
      <c r="AR33" s="27">
        <v>703</v>
      </c>
      <c r="AS33" s="27">
        <v>715</v>
      </c>
      <c r="AT33" s="27">
        <v>684</v>
      </c>
      <c r="AU33" s="27">
        <v>689</v>
      </c>
      <c r="AV33" s="27">
        <v>624</v>
      </c>
      <c r="AW33" s="27">
        <v>666</v>
      </c>
      <c r="AX33" s="27">
        <v>666</v>
      </c>
      <c r="AY33" s="27">
        <v>602</v>
      </c>
      <c r="AZ33" s="27">
        <v>4172</v>
      </c>
      <c r="BA33" s="27">
        <v>1373</v>
      </c>
      <c r="BB33" s="27">
        <v>2558</v>
      </c>
      <c r="BC33" s="27">
        <v>6109</v>
      </c>
      <c r="BD33" s="27">
        <v>8103</v>
      </c>
      <c r="BE33" s="27">
        <v>8667</v>
      </c>
      <c r="BF33" s="27">
        <v>558</v>
      </c>
      <c r="BG33" s="27">
        <v>6</v>
      </c>
      <c r="BH33" s="27">
        <v>1</v>
      </c>
      <c r="BI33" s="27">
        <v>2046</v>
      </c>
      <c r="BJ33" s="27">
        <v>619</v>
      </c>
      <c r="BK33" s="29">
        <v>61</v>
      </c>
      <c r="BL33" s="29">
        <v>680</v>
      </c>
      <c r="BM33" s="29">
        <v>914</v>
      </c>
      <c r="BN33" s="30">
        <v>9.2540267016940403E-2</v>
      </c>
      <c r="BO33" s="31">
        <v>495.30699999999979</v>
      </c>
      <c r="BP33" s="31">
        <v>479.30699999999979</v>
      </c>
      <c r="BQ33" s="31">
        <v>444.31699999999984</v>
      </c>
      <c r="BR33" s="31">
        <v>493.80699999999985</v>
      </c>
      <c r="BS33" s="32">
        <v>1946</v>
      </c>
      <c r="BT33" s="32">
        <v>997</v>
      </c>
      <c r="BU33" s="33">
        <v>1332.25</v>
      </c>
      <c r="BV33" s="33">
        <v>6</v>
      </c>
      <c r="BW33" s="33">
        <v>554.83333300000004</v>
      </c>
      <c r="BX33" s="33">
        <v>560.83333333333337</v>
      </c>
      <c r="BY33" s="33">
        <v>638.71111111111111</v>
      </c>
      <c r="BZ33" s="33">
        <v>713.58888888888885</v>
      </c>
      <c r="CA33" s="33">
        <v>680.52222222222224</v>
      </c>
      <c r="CB33" s="33">
        <v>725.36666666666667</v>
      </c>
      <c r="CC33" s="33">
        <v>702.16666666666663</v>
      </c>
      <c r="CD33" s="33">
        <v>713.12777777777774</v>
      </c>
      <c r="CE33" s="33">
        <v>678.67777777777781</v>
      </c>
      <c r="CF33" s="33">
        <v>672.78888888888889</v>
      </c>
      <c r="CG33" s="33">
        <v>620.45555555555552</v>
      </c>
      <c r="CH33" s="33">
        <v>656.42222222222222</v>
      </c>
      <c r="CI33" s="33">
        <v>656.68333333333328</v>
      </c>
      <c r="CJ33" s="33">
        <v>581.69444444444446</v>
      </c>
      <c r="CK33" s="33">
        <v>4173.4833333333336</v>
      </c>
      <c r="CL33" s="33">
        <v>1351.4666666666667</v>
      </c>
      <c r="CM33" s="33">
        <v>2515.2555555555555</v>
      </c>
      <c r="CN33" s="33">
        <v>6085.7833333333338</v>
      </c>
      <c r="CO33" s="33">
        <v>8040.2055555555562</v>
      </c>
      <c r="CP33" s="33">
        <v>8601.0388888888901</v>
      </c>
      <c r="CQ33" s="33">
        <v>629.06666666666695</v>
      </c>
      <c r="CR33" s="33">
        <v>64.105555555555597</v>
      </c>
      <c r="CS33" s="33">
        <v>693.17222222222256</v>
      </c>
      <c r="CT33" s="33">
        <v>1454.388888</v>
      </c>
      <c r="CU33" s="33">
        <v>478</v>
      </c>
      <c r="CV33" s="32">
        <v>3</v>
      </c>
      <c r="CW33" s="32">
        <v>481</v>
      </c>
      <c r="CX33" s="32">
        <v>615</v>
      </c>
      <c r="CY33" s="32">
        <v>631</v>
      </c>
      <c r="CZ33" s="32">
        <v>689</v>
      </c>
      <c r="DA33" s="32">
        <v>684</v>
      </c>
      <c r="DB33" s="32">
        <v>699</v>
      </c>
      <c r="DC33" s="32">
        <v>667</v>
      </c>
      <c r="DD33" s="32">
        <v>715</v>
      </c>
      <c r="DE33" s="32">
        <v>685</v>
      </c>
      <c r="DF33" s="32">
        <v>629</v>
      </c>
      <c r="DG33" s="32">
        <v>651</v>
      </c>
      <c r="DH33" s="32">
        <v>673</v>
      </c>
      <c r="DI33" s="32">
        <v>666</v>
      </c>
      <c r="DJ33" s="32">
        <v>3985</v>
      </c>
      <c r="DK33" s="32">
        <v>1400</v>
      </c>
      <c r="DL33" s="32">
        <v>2619</v>
      </c>
      <c r="DM33" s="32">
        <v>5866</v>
      </c>
      <c r="DN33" s="32">
        <v>8004</v>
      </c>
      <c r="DO33" s="32">
        <v>8485</v>
      </c>
      <c r="DP33" s="32">
        <v>5</v>
      </c>
      <c r="DQ33" s="32">
        <v>1788</v>
      </c>
      <c r="DR33" s="32">
        <v>640</v>
      </c>
      <c r="DS33" s="32">
        <v>64</v>
      </c>
      <c r="DT33" s="32">
        <v>704</v>
      </c>
      <c r="DU33" s="32">
        <v>901</v>
      </c>
      <c r="DV33" s="33">
        <v>505.27399999999977</v>
      </c>
      <c r="DW33" s="33">
        <v>486.27399999999977</v>
      </c>
      <c r="DX33" s="33">
        <v>193.37000000000006</v>
      </c>
      <c r="DY33" s="33">
        <v>184.51500000000001</v>
      </c>
      <c r="DZ33" s="33">
        <v>12</v>
      </c>
      <c r="EA33" s="33">
        <v>514.36399999999981</v>
      </c>
      <c r="EB33" s="34">
        <v>9.2868255708554504E-2</v>
      </c>
      <c r="EC33" s="32"/>
      <c r="ED33" s="32">
        <v>476</v>
      </c>
      <c r="EE33" s="32">
        <v>7924</v>
      </c>
      <c r="EF33" s="32"/>
      <c r="EG33" s="32"/>
      <c r="EH33" s="33"/>
      <c r="EI33" s="32">
        <v>8400</v>
      </c>
      <c r="EJ33" s="32">
        <v>71</v>
      </c>
      <c r="EK33" s="32">
        <v>711</v>
      </c>
      <c r="EL33" s="32">
        <v>782</v>
      </c>
      <c r="EM33" s="32">
        <v>643</v>
      </c>
      <c r="EN33" s="32">
        <v>68</v>
      </c>
      <c r="EO33" s="32">
        <v>81</v>
      </c>
      <c r="EP33" s="33">
        <v>126.05</v>
      </c>
      <c r="EQ33" s="33">
        <v>3.375</v>
      </c>
      <c r="ER33" s="33">
        <v>32</v>
      </c>
      <c r="ES33" s="33">
        <v>28</v>
      </c>
      <c r="ET33" s="33">
        <v>122.45</v>
      </c>
      <c r="EU33" s="33">
        <v>311.875</v>
      </c>
    </row>
    <row r="34" spans="1:151" ht="41.4" x14ac:dyDescent="0.3">
      <c r="A34" s="25">
        <v>33</v>
      </c>
      <c r="B34" s="26" t="s">
        <v>479</v>
      </c>
      <c r="C34" s="27" t="s">
        <v>679</v>
      </c>
      <c r="D34" s="27" t="s">
        <v>261</v>
      </c>
      <c r="E34" s="26" t="s">
        <v>504</v>
      </c>
      <c r="F34" s="26" t="s">
        <v>504</v>
      </c>
      <c r="G34" s="28">
        <v>3919.2388888888891</v>
      </c>
      <c r="H34" s="28">
        <v>447.63333333333333</v>
      </c>
      <c r="I34" s="29">
        <v>2419</v>
      </c>
      <c r="J34" s="29">
        <v>16305</v>
      </c>
      <c r="K34" s="29">
        <v>6059</v>
      </c>
      <c r="L34" s="29">
        <v>11840</v>
      </c>
      <c r="M34" s="29">
        <v>36623</v>
      </c>
      <c r="N34" s="29">
        <v>34204</v>
      </c>
      <c r="O34" s="29">
        <v>24783</v>
      </c>
      <c r="P34" s="29">
        <v>441</v>
      </c>
      <c r="Q34" s="27">
        <v>2210.0833333333335</v>
      </c>
      <c r="R34" s="27">
        <v>2355.3444444444444</v>
      </c>
      <c r="S34" s="27">
        <v>2399.75</v>
      </c>
      <c r="T34" s="27">
        <v>2484.2111111111112</v>
      </c>
      <c r="U34" s="27">
        <v>2450.6777777777779</v>
      </c>
      <c r="V34" s="27">
        <v>2432.0611111111111</v>
      </c>
      <c r="W34" s="27">
        <v>2646.0388888888888</v>
      </c>
      <c r="X34" s="27">
        <v>2682.3055555555557</v>
      </c>
      <c r="Y34" s="27">
        <v>2891.4055555555556</v>
      </c>
      <c r="Z34" s="27">
        <v>2963.4222222222224</v>
      </c>
      <c r="AA34" s="27">
        <v>2955.7888888888888</v>
      </c>
      <c r="AB34" s="27">
        <v>2917.5833333333335</v>
      </c>
      <c r="AC34" s="27">
        <v>2541.7944444444443</v>
      </c>
      <c r="AD34" s="27">
        <v>14768.083333333332</v>
      </c>
      <c r="AE34" s="27">
        <v>5573.7111111111117</v>
      </c>
      <c r="AF34" s="27">
        <v>11378.588888888889</v>
      </c>
      <c r="AG34" s="27">
        <v>22551.877777777776</v>
      </c>
      <c r="AH34" s="27">
        <v>31720.383333333331</v>
      </c>
      <c r="AI34" s="27">
        <v>33930.466666666667</v>
      </c>
      <c r="AJ34" s="28">
        <v>4048.6444444444446</v>
      </c>
      <c r="AK34" s="28">
        <v>464.70555555555558</v>
      </c>
      <c r="AL34" s="28">
        <v>4513.3500000000004</v>
      </c>
      <c r="AM34" s="29">
        <v>2287</v>
      </c>
      <c r="AN34" s="35">
        <v>2616</v>
      </c>
      <c r="AO34" s="27">
        <v>2734</v>
      </c>
      <c r="AP34" s="27">
        <v>2712</v>
      </c>
      <c r="AQ34" s="27">
        <v>2796</v>
      </c>
      <c r="AR34" s="27">
        <v>2764</v>
      </c>
      <c r="AS34" s="27">
        <v>2760</v>
      </c>
      <c r="AT34" s="27">
        <v>2866</v>
      </c>
      <c r="AU34" s="27">
        <v>3113</v>
      </c>
      <c r="AV34" s="27">
        <v>2995</v>
      </c>
      <c r="AW34" s="27">
        <v>3089</v>
      </c>
      <c r="AX34" s="27">
        <v>3081</v>
      </c>
      <c r="AY34" s="27">
        <v>2940</v>
      </c>
      <c r="AZ34" s="27">
        <v>16382</v>
      </c>
      <c r="BA34" s="27">
        <v>5979</v>
      </c>
      <c r="BB34" s="27">
        <v>12105</v>
      </c>
      <c r="BC34" s="27">
        <v>24648</v>
      </c>
      <c r="BD34" s="27">
        <v>34466</v>
      </c>
      <c r="BE34" s="27">
        <v>36753</v>
      </c>
      <c r="BF34" s="27">
        <v>1947</v>
      </c>
      <c r="BG34" s="27">
        <v>340</v>
      </c>
      <c r="BH34" s="27">
        <v>7</v>
      </c>
      <c r="BI34" s="27">
        <v>10947</v>
      </c>
      <c r="BJ34" s="27">
        <v>4039</v>
      </c>
      <c r="BK34" s="29">
        <v>499</v>
      </c>
      <c r="BL34" s="29">
        <v>4538</v>
      </c>
      <c r="BM34" s="29">
        <v>2255</v>
      </c>
      <c r="BN34" s="30">
        <v>9.4979071088689582E-2</v>
      </c>
      <c r="BO34" s="31">
        <v>1939.2979999999995</v>
      </c>
      <c r="BP34" s="31">
        <v>1865.1579999999994</v>
      </c>
      <c r="BQ34" s="31">
        <v>1752.9199999999996</v>
      </c>
      <c r="BR34" s="31">
        <v>1918.3999999999992</v>
      </c>
      <c r="BS34" s="32">
        <v>1506</v>
      </c>
      <c r="BT34" s="32">
        <v>708</v>
      </c>
      <c r="BU34" s="33">
        <v>1530.833333</v>
      </c>
      <c r="BV34" s="33">
        <v>151.68888799999999</v>
      </c>
      <c r="BW34" s="33">
        <v>1918.7833330000001</v>
      </c>
      <c r="BX34" s="33">
        <v>2070.4722222222222</v>
      </c>
      <c r="BY34" s="33">
        <v>2310.8944444444446</v>
      </c>
      <c r="BZ34" s="33">
        <v>2435.6</v>
      </c>
      <c r="CA34" s="33">
        <v>2448.8277777777776</v>
      </c>
      <c r="CB34" s="33">
        <v>2511.2277777777776</v>
      </c>
      <c r="CC34" s="33">
        <v>2504.3444444444444</v>
      </c>
      <c r="CD34" s="33">
        <v>2489.7555555555555</v>
      </c>
      <c r="CE34" s="33">
        <v>2651.8888888888887</v>
      </c>
      <c r="CF34" s="33">
        <v>2879.85</v>
      </c>
      <c r="CG34" s="33">
        <v>2932.2111111111112</v>
      </c>
      <c r="CH34" s="33">
        <v>3017.8888888888887</v>
      </c>
      <c r="CI34" s="33">
        <v>3006.0388888888888</v>
      </c>
      <c r="CJ34" s="33">
        <v>2753.5388888888888</v>
      </c>
      <c r="CK34" s="33">
        <v>14700.65</v>
      </c>
      <c r="CL34" s="33">
        <v>5531.7388888888891</v>
      </c>
      <c r="CM34" s="33">
        <v>11709.677777777777</v>
      </c>
      <c r="CN34" s="33">
        <v>22302.861111111109</v>
      </c>
      <c r="CO34" s="33">
        <v>31942.066666666666</v>
      </c>
      <c r="CP34" s="33">
        <v>34012.538888888885</v>
      </c>
      <c r="CQ34" s="33">
        <v>4073.3</v>
      </c>
      <c r="CR34" s="33">
        <v>486.91666666666703</v>
      </c>
      <c r="CS34" s="33">
        <v>4560.2166666666672</v>
      </c>
      <c r="CT34" s="33">
        <v>1567.65</v>
      </c>
      <c r="CU34" s="33">
        <v>1813</v>
      </c>
      <c r="CV34" s="32">
        <v>347</v>
      </c>
      <c r="CW34" s="32">
        <v>2160</v>
      </c>
      <c r="CX34" s="32">
        <v>2330</v>
      </c>
      <c r="CY34" s="32">
        <v>2552</v>
      </c>
      <c r="CZ34" s="32">
        <v>2637</v>
      </c>
      <c r="DA34" s="32">
        <v>2665</v>
      </c>
      <c r="DB34" s="32">
        <v>2775</v>
      </c>
      <c r="DC34" s="32">
        <v>2727</v>
      </c>
      <c r="DD34" s="32">
        <v>2666</v>
      </c>
      <c r="DE34" s="32">
        <v>2995</v>
      </c>
      <c r="DF34" s="32">
        <v>2977</v>
      </c>
      <c r="DG34" s="32">
        <v>3105</v>
      </c>
      <c r="DH34" s="32">
        <v>3273</v>
      </c>
      <c r="DI34" s="32">
        <v>3144</v>
      </c>
      <c r="DJ34" s="32">
        <v>15686</v>
      </c>
      <c r="DK34" s="32">
        <v>5661</v>
      </c>
      <c r="DL34" s="32">
        <v>12499</v>
      </c>
      <c r="DM34" s="32">
        <v>23507</v>
      </c>
      <c r="DN34" s="32">
        <v>33846</v>
      </c>
      <c r="DO34" s="32">
        <v>36006</v>
      </c>
      <c r="DP34" s="32">
        <v>8</v>
      </c>
      <c r="DQ34" s="32">
        <v>10254</v>
      </c>
      <c r="DR34" s="32">
        <v>4109</v>
      </c>
      <c r="DS34" s="32">
        <v>465</v>
      </c>
      <c r="DT34" s="32">
        <v>4574</v>
      </c>
      <c r="DU34" s="32">
        <v>2357</v>
      </c>
      <c r="DV34" s="33">
        <v>1941.5800000000006</v>
      </c>
      <c r="DW34" s="33">
        <v>1868.5800000000004</v>
      </c>
      <c r="DX34" s="33">
        <v>785.13499999999988</v>
      </c>
      <c r="DY34" s="33">
        <v>789.84800000000007</v>
      </c>
      <c r="DZ34" s="33">
        <v>0</v>
      </c>
      <c r="EA34" s="33">
        <v>1952.3920000000005</v>
      </c>
      <c r="EB34" s="34">
        <v>9.6375806046176515E-2</v>
      </c>
      <c r="EC34" s="32"/>
      <c r="ED34" s="32">
        <v>2100</v>
      </c>
      <c r="EE34" s="32">
        <v>32900</v>
      </c>
      <c r="EF34" s="32"/>
      <c r="EG34" s="32"/>
      <c r="EH34" s="33"/>
      <c r="EI34" s="32">
        <v>35000</v>
      </c>
      <c r="EJ34" s="32">
        <v>445</v>
      </c>
      <c r="EK34" s="32">
        <v>4621</v>
      </c>
      <c r="EL34" s="32">
        <v>5066</v>
      </c>
      <c r="EM34" s="32">
        <v>4126</v>
      </c>
      <c r="EN34" s="32">
        <v>495</v>
      </c>
      <c r="EO34" s="32">
        <v>143</v>
      </c>
      <c r="EP34" s="33">
        <v>367.88799999999998</v>
      </c>
      <c r="EQ34" s="33">
        <v>48.975000000000001</v>
      </c>
      <c r="ER34" s="33">
        <v>173.01300000000001</v>
      </c>
      <c r="ES34" s="33">
        <v>150.94999999999999</v>
      </c>
      <c r="ET34" s="33">
        <v>419.94200000000001</v>
      </c>
      <c r="EU34" s="33">
        <v>1160.768</v>
      </c>
    </row>
    <row r="35" spans="1:151" ht="41.4" x14ac:dyDescent="0.3">
      <c r="A35" s="25">
        <v>34</v>
      </c>
      <c r="B35" s="26" t="s">
        <v>480</v>
      </c>
      <c r="C35" s="27" t="s">
        <v>680</v>
      </c>
      <c r="D35" s="27" t="s">
        <v>261</v>
      </c>
      <c r="E35" s="26" t="s">
        <v>504</v>
      </c>
      <c r="F35" s="26" t="s">
        <v>504</v>
      </c>
      <c r="G35" s="28">
        <v>53.072222222222223</v>
      </c>
      <c r="H35" s="28">
        <v>2</v>
      </c>
      <c r="I35" s="29">
        <v>33</v>
      </c>
      <c r="J35" s="29">
        <v>210</v>
      </c>
      <c r="K35" s="29">
        <v>55</v>
      </c>
      <c r="L35" s="29">
        <v>140</v>
      </c>
      <c r="M35" s="29">
        <v>438</v>
      </c>
      <c r="N35" s="29">
        <v>405</v>
      </c>
      <c r="O35" s="29">
        <v>298</v>
      </c>
      <c r="P35" s="29">
        <v>3</v>
      </c>
      <c r="Q35" s="27">
        <v>30.15</v>
      </c>
      <c r="R35" s="27">
        <v>34.222222222222221</v>
      </c>
      <c r="S35" s="27">
        <v>37.533333333333331</v>
      </c>
      <c r="T35" s="27">
        <v>42.927777777777777</v>
      </c>
      <c r="U35" s="27">
        <v>29.216666666666665</v>
      </c>
      <c r="V35" s="27">
        <v>29.666666666666668</v>
      </c>
      <c r="W35" s="27">
        <v>33.011111111111113</v>
      </c>
      <c r="X35" s="27">
        <v>35.033333333333331</v>
      </c>
      <c r="Y35" s="27">
        <v>20.833333333333332</v>
      </c>
      <c r="Z35" s="27">
        <v>37.15</v>
      </c>
      <c r="AA35" s="27">
        <v>32.027777777777779</v>
      </c>
      <c r="AB35" s="27">
        <v>31.7</v>
      </c>
      <c r="AC35" s="27">
        <v>30.066666666666666</v>
      </c>
      <c r="AD35" s="27">
        <v>206.57777777777778</v>
      </c>
      <c r="AE35" s="27">
        <v>55.86666666666666</v>
      </c>
      <c r="AF35" s="27">
        <v>130.94444444444446</v>
      </c>
      <c r="AG35" s="27">
        <v>292.59444444444438</v>
      </c>
      <c r="AH35" s="27">
        <v>393.38888888888886</v>
      </c>
      <c r="AI35" s="27">
        <v>423.53888888888878</v>
      </c>
      <c r="AJ35" s="28">
        <v>57.733333333333334</v>
      </c>
      <c r="AK35" s="28">
        <v>3</v>
      </c>
      <c r="AL35" s="28">
        <v>60.733333333333334</v>
      </c>
      <c r="AM35" s="29">
        <v>30</v>
      </c>
      <c r="AN35" s="35">
        <v>28</v>
      </c>
      <c r="AO35" s="27">
        <v>33</v>
      </c>
      <c r="AP35" s="27">
        <v>35</v>
      </c>
      <c r="AQ35" s="27">
        <v>41</v>
      </c>
      <c r="AR35" s="27">
        <v>28</v>
      </c>
      <c r="AS35" s="27">
        <v>28</v>
      </c>
      <c r="AT35" s="27">
        <v>31</v>
      </c>
      <c r="AU35" s="27">
        <v>34</v>
      </c>
      <c r="AV35" s="27">
        <v>22</v>
      </c>
      <c r="AW35" s="27">
        <v>35</v>
      </c>
      <c r="AX35" s="27">
        <v>28</v>
      </c>
      <c r="AY35" s="27">
        <v>29</v>
      </c>
      <c r="AZ35" s="27">
        <v>193</v>
      </c>
      <c r="BA35" s="27">
        <v>65</v>
      </c>
      <c r="BB35" s="27">
        <v>114</v>
      </c>
      <c r="BC35" s="27">
        <v>288</v>
      </c>
      <c r="BD35" s="27">
        <v>372</v>
      </c>
      <c r="BE35" s="27">
        <v>402</v>
      </c>
      <c r="BF35" s="27">
        <v>28</v>
      </c>
      <c r="BG35" s="27">
        <v>2</v>
      </c>
      <c r="BH35" s="27">
        <v>0</v>
      </c>
      <c r="BI35" s="27">
        <v>188</v>
      </c>
      <c r="BJ35" s="27">
        <v>56</v>
      </c>
      <c r="BK35" s="29">
        <v>2</v>
      </c>
      <c r="BL35" s="29">
        <v>58</v>
      </c>
      <c r="BM35" s="29">
        <v>7</v>
      </c>
      <c r="BN35" s="30">
        <v>8.4940665958200434E-2</v>
      </c>
      <c r="BO35" s="31">
        <v>36.224999999999994</v>
      </c>
      <c r="BP35" s="31">
        <v>33.475000000000001</v>
      </c>
      <c r="BQ35" s="31">
        <v>32.474999999999994</v>
      </c>
      <c r="BR35" s="31">
        <v>36.825000000000003</v>
      </c>
      <c r="BS35" s="32">
        <v>0</v>
      </c>
      <c r="BT35" s="32">
        <v>0</v>
      </c>
      <c r="BU35" s="33">
        <v>0</v>
      </c>
      <c r="BV35" s="33">
        <v>2</v>
      </c>
      <c r="BW35" s="33">
        <v>29</v>
      </c>
      <c r="BX35" s="33">
        <v>31</v>
      </c>
      <c r="BY35" s="33">
        <v>25.372222222222224</v>
      </c>
      <c r="BZ35" s="33">
        <v>31.516666666666666</v>
      </c>
      <c r="CA35" s="33">
        <v>34.4</v>
      </c>
      <c r="CB35" s="33">
        <v>41.594444444444441</v>
      </c>
      <c r="CC35" s="33">
        <v>29.344444444444445</v>
      </c>
      <c r="CD35" s="33">
        <v>28.155555555555555</v>
      </c>
      <c r="CE35" s="33">
        <v>31.85</v>
      </c>
      <c r="CF35" s="33">
        <v>34.299999999999997</v>
      </c>
      <c r="CG35" s="33">
        <v>21.477777777777778</v>
      </c>
      <c r="CH35" s="33">
        <v>34.388888888888886</v>
      </c>
      <c r="CI35" s="33">
        <v>26.833333333333332</v>
      </c>
      <c r="CJ35" s="33">
        <v>29.077777777777779</v>
      </c>
      <c r="CK35" s="33">
        <v>190.38333333333333</v>
      </c>
      <c r="CL35" s="33">
        <v>66.150000000000006</v>
      </c>
      <c r="CM35" s="33">
        <v>111.77777777777777</v>
      </c>
      <c r="CN35" s="33">
        <v>287.5333333333333</v>
      </c>
      <c r="CO35" s="33">
        <v>368.31111111111107</v>
      </c>
      <c r="CP35" s="33">
        <v>399.31111111111107</v>
      </c>
      <c r="CQ35" s="33">
        <v>60</v>
      </c>
      <c r="CR35" s="33">
        <v>2.3944444444444399</v>
      </c>
      <c r="CS35" s="33">
        <v>62.394444444444439</v>
      </c>
      <c r="CT35" s="33">
        <v>0</v>
      </c>
      <c r="CU35" s="33">
        <v>19</v>
      </c>
      <c r="CV35" s="32">
        <v>2</v>
      </c>
      <c r="CW35" s="32">
        <v>21</v>
      </c>
      <c r="CX35" s="32">
        <v>30</v>
      </c>
      <c r="CY35" s="32">
        <v>29</v>
      </c>
      <c r="CZ35" s="32">
        <v>38</v>
      </c>
      <c r="DA35" s="32">
        <v>34</v>
      </c>
      <c r="DB35" s="32">
        <v>44</v>
      </c>
      <c r="DC35" s="32">
        <v>33</v>
      </c>
      <c r="DD35" s="32">
        <v>31</v>
      </c>
      <c r="DE35" s="32">
        <v>34</v>
      </c>
      <c r="DF35" s="32">
        <v>40</v>
      </c>
      <c r="DG35" s="32">
        <v>25</v>
      </c>
      <c r="DH35" s="32">
        <v>36</v>
      </c>
      <c r="DI35" s="32">
        <v>25</v>
      </c>
      <c r="DJ35" s="32">
        <v>208</v>
      </c>
      <c r="DK35" s="32">
        <v>65</v>
      </c>
      <c r="DL35" s="32">
        <v>126</v>
      </c>
      <c r="DM35" s="32">
        <v>294</v>
      </c>
      <c r="DN35" s="32">
        <v>399</v>
      </c>
      <c r="DO35" s="32">
        <v>420</v>
      </c>
      <c r="DP35" s="32">
        <v>0</v>
      </c>
      <c r="DQ35" s="32">
        <v>216</v>
      </c>
      <c r="DR35" s="32">
        <v>61</v>
      </c>
      <c r="DS35" s="32">
        <v>2</v>
      </c>
      <c r="DT35" s="32">
        <v>63</v>
      </c>
      <c r="DU35" s="32">
        <v>14</v>
      </c>
      <c r="DV35" s="33">
        <v>36.550000000000004</v>
      </c>
      <c r="DW35" s="33">
        <v>33.950000000000003</v>
      </c>
      <c r="DX35" s="33">
        <v>15.249999999999998</v>
      </c>
      <c r="DY35" s="33">
        <v>14.05</v>
      </c>
      <c r="DZ35" s="33">
        <v>0.75</v>
      </c>
      <c r="EA35" s="33">
        <v>38.700000000000003</v>
      </c>
      <c r="EB35" s="34">
        <v>8.5222722722722688E-2</v>
      </c>
      <c r="EC35" s="32"/>
      <c r="ED35" s="32">
        <v>22</v>
      </c>
      <c r="EE35" s="32">
        <v>415</v>
      </c>
      <c r="EF35" s="32"/>
      <c r="EG35" s="32"/>
      <c r="EH35" s="33"/>
      <c r="EI35" s="32">
        <v>437</v>
      </c>
      <c r="EJ35" s="32">
        <v>13</v>
      </c>
      <c r="EK35" s="32">
        <v>65</v>
      </c>
      <c r="EL35" s="32">
        <v>78</v>
      </c>
      <c r="EM35" s="32">
        <v>63</v>
      </c>
      <c r="EN35" s="32">
        <v>2</v>
      </c>
      <c r="EO35" s="32">
        <v>28</v>
      </c>
      <c r="EP35" s="33">
        <v>27</v>
      </c>
      <c r="EQ35" s="33">
        <v>2</v>
      </c>
      <c r="ER35" s="33">
        <v>4</v>
      </c>
      <c r="ES35" s="33">
        <v>19</v>
      </c>
      <c r="ET35" s="33">
        <v>18</v>
      </c>
      <c r="EU35" s="33">
        <v>70</v>
      </c>
    </row>
    <row r="36" spans="1:151" ht="41.4" x14ac:dyDescent="0.3">
      <c r="A36" s="25">
        <v>35</v>
      </c>
      <c r="B36" s="26" t="s">
        <v>481</v>
      </c>
      <c r="C36" s="27" t="s">
        <v>681</v>
      </c>
      <c r="D36" s="27" t="s">
        <v>261</v>
      </c>
      <c r="E36" s="26" t="s">
        <v>504</v>
      </c>
      <c r="F36" s="26" t="s">
        <v>504</v>
      </c>
      <c r="G36" s="28">
        <v>3832.1166666666668</v>
      </c>
      <c r="H36" s="28">
        <v>466.94444444444446</v>
      </c>
      <c r="I36" s="29">
        <v>2057</v>
      </c>
      <c r="J36" s="29">
        <v>14252</v>
      </c>
      <c r="K36" s="29">
        <v>5372</v>
      </c>
      <c r="L36" s="29">
        <v>10876</v>
      </c>
      <c r="M36" s="29">
        <v>32557</v>
      </c>
      <c r="N36" s="29">
        <v>30500</v>
      </c>
      <c r="O36" s="29">
        <v>21681</v>
      </c>
      <c r="P36" s="29">
        <v>488</v>
      </c>
      <c r="Q36" s="27">
        <v>2003.088888888889</v>
      </c>
      <c r="R36" s="27">
        <v>2323.4888888888891</v>
      </c>
      <c r="S36" s="27">
        <v>2284.1055555555554</v>
      </c>
      <c r="T36" s="27">
        <v>2265.9055555555556</v>
      </c>
      <c r="U36" s="27">
        <v>2350.9166666666665</v>
      </c>
      <c r="V36" s="27">
        <v>2416.3444444444444</v>
      </c>
      <c r="W36" s="27">
        <v>2406.4277777777779</v>
      </c>
      <c r="X36" s="27">
        <v>2649.7388888888891</v>
      </c>
      <c r="Y36" s="27">
        <v>2624.6333333333332</v>
      </c>
      <c r="Z36" s="27">
        <v>2834.1555555555556</v>
      </c>
      <c r="AA36" s="27">
        <v>2694.6166666666668</v>
      </c>
      <c r="AB36" s="27">
        <v>2463.9777777777776</v>
      </c>
      <c r="AC36" s="27">
        <v>2353.0333333333333</v>
      </c>
      <c r="AD36" s="27">
        <v>14047.18888888889</v>
      </c>
      <c r="AE36" s="27">
        <v>5274.3722222222223</v>
      </c>
      <c r="AF36" s="27">
        <v>10345.783333333333</v>
      </c>
      <c r="AG36" s="27">
        <v>21324.65</v>
      </c>
      <c r="AH36" s="27">
        <v>29667.344444444447</v>
      </c>
      <c r="AI36" s="27">
        <v>31670.433333333334</v>
      </c>
      <c r="AJ36" s="28">
        <v>3897.4555555555557</v>
      </c>
      <c r="AK36" s="28">
        <v>451.21666666666664</v>
      </c>
      <c r="AL36" s="28">
        <v>4348.6722222222224</v>
      </c>
      <c r="AM36" s="29">
        <v>1923</v>
      </c>
      <c r="AN36" s="35">
        <v>2144</v>
      </c>
      <c r="AO36" s="27">
        <v>2382</v>
      </c>
      <c r="AP36" s="27">
        <v>2346</v>
      </c>
      <c r="AQ36" s="27">
        <v>2319</v>
      </c>
      <c r="AR36" s="27">
        <v>2415</v>
      </c>
      <c r="AS36" s="27">
        <v>2455</v>
      </c>
      <c r="AT36" s="27">
        <v>2616</v>
      </c>
      <c r="AU36" s="27">
        <v>2704</v>
      </c>
      <c r="AV36" s="27">
        <v>2645</v>
      </c>
      <c r="AW36" s="27">
        <v>2853</v>
      </c>
      <c r="AX36" s="27">
        <v>2741</v>
      </c>
      <c r="AY36" s="27">
        <v>2560</v>
      </c>
      <c r="AZ36" s="27">
        <v>14061</v>
      </c>
      <c r="BA36" s="27">
        <v>5320</v>
      </c>
      <c r="BB36" s="27">
        <v>10799</v>
      </c>
      <c r="BC36" s="27">
        <v>21304</v>
      </c>
      <c r="BD36" s="27">
        <v>30180</v>
      </c>
      <c r="BE36" s="27">
        <v>32103</v>
      </c>
      <c r="BF36" s="27">
        <v>1813</v>
      </c>
      <c r="BG36" s="27">
        <v>110</v>
      </c>
      <c r="BH36" s="27">
        <v>23</v>
      </c>
      <c r="BI36" s="27">
        <v>9744</v>
      </c>
      <c r="BJ36" s="27">
        <v>3901</v>
      </c>
      <c r="BK36" s="29">
        <v>466</v>
      </c>
      <c r="BL36" s="29">
        <v>4367</v>
      </c>
      <c r="BM36" s="29">
        <v>1486</v>
      </c>
      <c r="BN36" s="30">
        <v>9.4484030563907029E-2</v>
      </c>
      <c r="BO36" s="31">
        <v>1776.5059999999992</v>
      </c>
      <c r="BP36" s="31">
        <v>1700.7959999999991</v>
      </c>
      <c r="BQ36" s="31">
        <v>1621.2938000000001</v>
      </c>
      <c r="BR36" s="31">
        <v>1780.2060000000004</v>
      </c>
      <c r="BS36" s="32">
        <v>14</v>
      </c>
      <c r="BT36" s="32">
        <v>20</v>
      </c>
      <c r="BU36" s="33">
        <v>491.955555</v>
      </c>
      <c r="BV36" s="33">
        <v>131.09444400000001</v>
      </c>
      <c r="BW36" s="33">
        <v>1752.577777</v>
      </c>
      <c r="BX36" s="33">
        <v>1883.6722222222222</v>
      </c>
      <c r="BY36" s="33">
        <v>2123.1888888888889</v>
      </c>
      <c r="BZ36" s="33">
        <v>2350.8555555555554</v>
      </c>
      <c r="CA36" s="33">
        <v>2332</v>
      </c>
      <c r="CB36" s="33">
        <v>2300.5</v>
      </c>
      <c r="CC36" s="33">
        <v>2387.6999999999998</v>
      </c>
      <c r="CD36" s="33">
        <v>2429.1111111111113</v>
      </c>
      <c r="CE36" s="33">
        <v>2579.5333333333333</v>
      </c>
      <c r="CF36" s="33">
        <v>2669.8833333333332</v>
      </c>
      <c r="CG36" s="33">
        <v>2615.6833333333334</v>
      </c>
      <c r="CH36" s="33">
        <v>2828.6388888888887</v>
      </c>
      <c r="CI36" s="33">
        <v>2717.5611111111111</v>
      </c>
      <c r="CJ36" s="33">
        <v>2438.4222222222224</v>
      </c>
      <c r="CK36" s="33">
        <v>13923.355555555556</v>
      </c>
      <c r="CL36" s="33">
        <v>5249.4166666666661</v>
      </c>
      <c r="CM36" s="33">
        <v>10600.305555555555</v>
      </c>
      <c r="CN36" s="33">
        <v>21056.444444444445</v>
      </c>
      <c r="CO36" s="33">
        <v>29773.07777777778</v>
      </c>
      <c r="CP36" s="33">
        <v>31656.750000000004</v>
      </c>
      <c r="CQ36" s="33">
        <v>3962.8277777777798</v>
      </c>
      <c r="CR36" s="33">
        <v>464.16666666666703</v>
      </c>
      <c r="CS36" s="33">
        <v>4426.9944444444473</v>
      </c>
      <c r="CT36" s="33">
        <v>502.9</v>
      </c>
      <c r="CU36" s="33">
        <v>1899</v>
      </c>
      <c r="CV36" s="32">
        <v>19</v>
      </c>
      <c r="CW36" s="32">
        <v>1918</v>
      </c>
      <c r="CX36" s="32">
        <v>1966</v>
      </c>
      <c r="CY36" s="32">
        <v>2155</v>
      </c>
      <c r="CZ36" s="32">
        <v>2381</v>
      </c>
      <c r="DA36" s="32">
        <v>2385</v>
      </c>
      <c r="DB36" s="32">
        <v>2328</v>
      </c>
      <c r="DC36" s="32">
        <v>2416</v>
      </c>
      <c r="DD36" s="32">
        <v>2591</v>
      </c>
      <c r="DE36" s="32">
        <v>2614</v>
      </c>
      <c r="DF36" s="32">
        <v>2707</v>
      </c>
      <c r="DG36" s="32">
        <v>2689</v>
      </c>
      <c r="DH36" s="32">
        <v>2856</v>
      </c>
      <c r="DI36" s="32">
        <v>2741</v>
      </c>
      <c r="DJ36" s="32">
        <v>13631</v>
      </c>
      <c r="DK36" s="32">
        <v>5205</v>
      </c>
      <c r="DL36" s="32">
        <v>10993</v>
      </c>
      <c r="DM36" s="32">
        <v>20754</v>
      </c>
      <c r="DN36" s="32">
        <v>29829</v>
      </c>
      <c r="DO36" s="32">
        <v>31747</v>
      </c>
      <c r="DP36" s="32">
        <v>22</v>
      </c>
      <c r="DQ36" s="32">
        <v>9617</v>
      </c>
      <c r="DR36" s="32">
        <v>3975</v>
      </c>
      <c r="DS36" s="32">
        <v>475</v>
      </c>
      <c r="DT36" s="32">
        <v>4450</v>
      </c>
      <c r="DU36" s="32">
        <v>1433</v>
      </c>
      <c r="DV36" s="33">
        <v>1852.8256000000006</v>
      </c>
      <c r="DW36" s="33">
        <v>1772.9036000000003</v>
      </c>
      <c r="DX36" s="33">
        <v>766.50199999999995</v>
      </c>
      <c r="DY36" s="33">
        <v>696.79599999999891</v>
      </c>
      <c r="DZ36" s="33">
        <v>0</v>
      </c>
      <c r="EA36" s="33">
        <v>1881.2775999999999</v>
      </c>
      <c r="EB36" s="34">
        <v>9.4023438974831564E-2</v>
      </c>
      <c r="EC36" s="32"/>
      <c r="ED36" s="32">
        <v>1895</v>
      </c>
      <c r="EE36" s="32">
        <v>29477</v>
      </c>
      <c r="EF36" s="32"/>
      <c r="EG36" s="32"/>
      <c r="EH36" s="33"/>
      <c r="EI36" s="32">
        <v>31372</v>
      </c>
      <c r="EJ36" s="32">
        <v>287</v>
      </c>
      <c r="EK36" s="32">
        <v>4431</v>
      </c>
      <c r="EL36" s="32">
        <v>4718</v>
      </c>
      <c r="EM36" s="32">
        <v>3925</v>
      </c>
      <c r="EN36" s="32">
        <v>506</v>
      </c>
      <c r="EO36" s="32">
        <v>48</v>
      </c>
      <c r="EP36" s="33">
        <v>644.5</v>
      </c>
      <c r="EQ36" s="33">
        <v>32</v>
      </c>
      <c r="ER36" s="33">
        <v>97.5</v>
      </c>
      <c r="ES36" s="33">
        <v>359.5</v>
      </c>
      <c r="ET36" s="33">
        <v>365.5</v>
      </c>
      <c r="EU36" s="33">
        <v>1499</v>
      </c>
    </row>
    <row r="37" spans="1:151" ht="27.6" x14ac:dyDescent="0.3">
      <c r="A37" s="25">
        <v>36</v>
      </c>
      <c r="B37" s="26" t="s">
        <v>482</v>
      </c>
      <c r="C37" s="27" t="s">
        <v>682</v>
      </c>
      <c r="D37" s="27" t="s">
        <v>261</v>
      </c>
      <c r="E37" s="26" t="s">
        <v>504</v>
      </c>
      <c r="F37" s="26" t="s">
        <v>504</v>
      </c>
      <c r="G37" s="28">
        <v>1896.2444444444445</v>
      </c>
      <c r="H37" s="28">
        <v>600.01111111111106</v>
      </c>
      <c r="I37" s="29">
        <v>1369</v>
      </c>
      <c r="J37" s="29">
        <v>8244</v>
      </c>
      <c r="K37" s="29">
        <v>2914</v>
      </c>
      <c r="L37" s="29">
        <v>6922</v>
      </c>
      <c r="M37" s="29">
        <v>19449</v>
      </c>
      <c r="N37" s="29">
        <v>18080</v>
      </c>
      <c r="O37" s="29">
        <v>12527</v>
      </c>
      <c r="P37" s="29">
        <v>560</v>
      </c>
      <c r="Q37" s="27">
        <v>1342.5222222222221</v>
      </c>
      <c r="R37" s="27">
        <v>1384.65</v>
      </c>
      <c r="S37" s="27">
        <v>1305.3222222222223</v>
      </c>
      <c r="T37" s="27">
        <v>1389.9833333333333</v>
      </c>
      <c r="U37" s="27">
        <v>1382.55</v>
      </c>
      <c r="V37" s="27">
        <v>1245.6277777777777</v>
      </c>
      <c r="W37" s="27">
        <v>1357.9611111111112</v>
      </c>
      <c r="X37" s="27">
        <v>1355.4222222222222</v>
      </c>
      <c r="Y37" s="27">
        <v>1486.7888888888888</v>
      </c>
      <c r="Z37" s="27">
        <v>1631.6944444444443</v>
      </c>
      <c r="AA37" s="27">
        <v>1647.1333333333334</v>
      </c>
      <c r="AB37" s="27">
        <v>1655.3944444444444</v>
      </c>
      <c r="AC37" s="27">
        <v>1539.5722222222223</v>
      </c>
      <c r="AD37" s="27">
        <v>8066.0944444444449</v>
      </c>
      <c r="AE37" s="27">
        <v>2842.2111111111108</v>
      </c>
      <c r="AF37" s="27">
        <v>6473.7944444444438</v>
      </c>
      <c r="AG37" s="27">
        <v>12250.827777777777</v>
      </c>
      <c r="AH37" s="27">
        <v>17382.099999999999</v>
      </c>
      <c r="AI37" s="27">
        <v>18724.62222222222</v>
      </c>
      <c r="AJ37" s="28">
        <v>1988.8833333333334</v>
      </c>
      <c r="AK37" s="28">
        <v>575.25</v>
      </c>
      <c r="AL37" s="28">
        <v>2564.1333333333332</v>
      </c>
      <c r="AM37" s="29">
        <v>1240</v>
      </c>
      <c r="AN37" s="35">
        <v>1387</v>
      </c>
      <c r="AO37" s="27">
        <v>1422</v>
      </c>
      <c r="AP37" s="27">
        <v>1347</v>
      </c>
      <c r="AQ37" s="27">
        <v>1430</v>
      </c>
      <c r="AR37" s="27">
        <v>1352</v>
      </c>
      <c r="AS37" s="27">
        <v>1278</v>
      </c>
      <c r="AT37" s="27">
        <v>1383</v>
      </c>
      <c r="AU37" s="27">
        <v>1379</v>
      </c>
      <c r="AV37" s="27">
        <v>1629</v>
      </c>
      <c r="AW37" s="27">
        <v>1721</v>
      </c>
      <c r="AX37" s="27">
        <v>1678</v>
      </c>
      <c r="AY37" s="27">
        <v>1720</v>
      </c>
      <c r="AZ37" s="27">
        <v>8216</v>
      </c>
      <c r="BA37" s="27">
        <v>2762</v>
      </c>
      <c r="BB37" s="27">
        <v>6748</v>
      </c>
      <c r="BC37" s="27">
        <v>12218</v>
      </c>
      <c r="BD37" s="27">
        <v>17726</v>
      </c>
      <c r="BE37" s="27">
        <v>18966</v>
      </c>
      <c r="BF37" s="27">
        <v>1229</v>
      </c>
      <c r="BG37" s="27">
        <v>11</v>
      </c>
      <c r="BH37" s="27">
        <v>16</v>
      </c>
      <c r="BI37" s="27">
        <v>10263</v>
      </c>
      <c r="BJ37" s="27">
        <v>1936</v>
      </c>
      <c r="BK37" s="29">
        <v>588</v>
      </c>
      <c r="BL37" s="29">
        <v>2524</v>
      </c>
      <c r="BM37" s="29">
        <v>4091</v>
      </c>
      <c r="BN37" s="30">
        <v>0.1127288653728295</v>
      </c>
      <c r="BO37" s="31">
        <v>1391.7259999999994</v>
      </c>
      <c r="BP37" s="31">
        <v>1314.2979999999995</v>
      </c>
      <c r="BQ37" s="31">
        <v>1181.4399999999996</v>
      </c>
      <c r="BR37" s="31">
        <v>1356.6310000000003</v>
      </c>
      <c r="BS37" s="32">
        <v>0</v>
      </c>
      <c r="BT37" s="32">
        <v>0</v>
      </c>
      <c r="BU37" s="33">
        <v>0</v>
      </c>
      <c r="BV37" s="33">
        <v>11.872222000000001</v>
      </c>
      <c r="BW37" s="33">
        <v>1207.516666</v>
      </c>
      <c r="BX37" s="33">
        <v>1219.3888888888889</v>
      </c>
      <c r="BY37" s="33">
        <v>1354.0333333333333</v>
      </c>
      <c r="BZ37" s="33">
        <v>1381.7055555555555</v>
      </c>
      <c r="CA37" s="33">
        <v>1320.9055555555556</v>
      </c>
      <c r="CB37" s="33">
        <v>1395.7666666666667</v>
      </c>
      <c r="CC37" s="33">
        <v>1306.3444444444444</v>
      </c>
      <c r="CD37" s="33">
        <v>1236.05</v>
      </c>
      <c r="CE37" s="33">
        <v>1335.7277777777779</v>
      </c>
      <c r="CF37" s="33">
        <v>1337.0055555555555</v>
      </c>
      <c r="CG37" s="33">
        <v>1559.8333333333333</v>
      </c>
      <c r="CH37" s="33">
        <v>1647.95</v>
      </c>
      <c r="CI37" s="33">
        <v>1605.0388888888888</v>
      </c>
      <c r="CJ37" s="33">
        <v>1563.4388888888889</v>
      </c>
      <c r="CK37" s="33">
        <v>7994.8055555555557</v>
      </c>
      <c r="CL37" s="33">
        <v>2672.7333333333336</v>
      </c>
      <c r="CM37" s="33">
        <v>6376.2611111111109</v>
      </c>
      <c r="CN37" s="33">
        <v>11886.927777777777</v>
      </c>
      <c r="CO37" s="33">
        <v>17043.8</v>
      </c>
      <c r="CP37" s="33">
        <v>18263.18888888889</v>
      </c>
      <c r="CQ37" s="33">
        <v>2053.0833333333298</v>
      </c>
      <c r="CR37" s="33">
        <v>582.16111111111104</v>
      </c>
      <c r="CS37" s="33">
        <v>2635.2444444444409</v>
      </c>
      <c r="CT37" s="33">
        <v>0</v>
      </c>
      <c r="CU37" s="33">
        <v>1200</v>
      </c>
      <c r="CV37" s="32">
        <v>0</v>
      </c>
      <c r="CW37" s="32">
        <v>1200</v>
      </c>
      <c r="CX37" s="32">
        <v>1302</v>
      </c>
      <c r="CY37" s="32">
        <v>1397</v>
      </c>
      <c r="CZ37" s="32">
        <v>1381</v>
      </c>
      <c r="DA37" s="32">
        <v>1374</v>
      </c>
      <c r="DB37" s="32">
        <v>1377</v>
      </c>
      <c r="DC37" s="32">
        <v>1338</v>
      </c>
      <c r="DD37" s="32">
        <v>1311</v>
      </c>
      <c r="DE37" s="32">
        <v>1385</v>
      </c>
      <c r="DF37" s="32">
        <v>1489</v>
      </c>
      <c r="DG37" s="32">
        <v>1607</v>
      </c>
      <c r="DH37" s="32">
        <v>1722</v>
      </c>
      <c r="DI37" s="32">
        <v>1652</v>
      </c>
      <c r="DJ37" s="32">
        <v>8169</v>
      </c>
      <c r="DK37" s="32">
        <v>2696</v>
      </c>
      <c r="DL37" s="32">
        <v>6470</v>
      </c>
      <c r="DM37" s="32">
        <v>12065</v>
      </c>
      <c r="DN37" s="32">
        <v>17335</v>
      </c>
      <c r="DO37" s="32">
        <v>18535</v>
      </c>
      <c r="DP37" s="32">
        <v>9</v>
      </c>
      <c r="DQ37" s="32">
        <v>10496</v>
      </c>
      <c r="DR37" s="32">
        <v>1973</v>
      </c>
      <c r="DS37" s="32">
        <v>581</v>
      </c>
      <c r="DT37" s="32">
        <v>2554</v>
      </c>
      <c r="DU37" s="32">
        <v>4171</v>
      </c>
      <c r="DV37" s="33">
        <v>1381.7959999999996</v>
      </c>
      <c r="DW37" s="33">
        <v>1307.9279999999997</v>
      </c>
      <c r="DX37" s="33">
        <v>582.49500000000012</v>
      </c>
      <c r="DY37" s="33">
        <v>453.12899999999985</v>
      </c>
      <c r="DZ37" s="33">
        <v>1</v>
      </c>
      <c r="EA37" s="33">
        <v>1390.9560000000004</v>
      </c>
      <c r="EB37" s="34">
        <v>0.11166553965852766</v>
      </c>
      <c r="EC37" s="32"/>
      <c r="ED37" s="32">
        <v>1165</v>
      </c>
      <c r="EE37" s="32">
        <v>16835</v>
      </c>
      <c r="EF37" s="32"/>
      <c r="EG37" s="32"/>
      <c r="EH37" s="33"/>
      <c r="EI37" s="32">
        <v>18000</v>
      </c>
      <c r="EJ37" s="32">
        <v>152</v>
      </c>
      <c r="EK37" s="32">
        <v>2544</v>
      </c>
      <c r="EL37" s="32">
        <v>2696</v>
      </c>
      <c r="EM37" s="32">
        <v>1960</v>
      </c>
      <c r="EN37" s="32">
        <v>584</v>
      </c>
      <c r="EO37" s="32">
        <v>158</v>
      </c>
      <c r="EP37" s="33">
        <v>588.63</v>
      </c>
      <c r="EQ37" s="33">
        <v>5</v>
      </c>
      <c r="ER37" s="33">
        <v>121.87</v>
      </c>
      <c r="ES37" s="33">
        <v>52</v>
      </c>
      <c r="ET37" s="33">
        <v>595</v>
      </c>
      <c r="EU37" s="33">
        <v>1362.5</v>
      </c>
    </row>
    <row r="38" spans="1:151" ht="41.4" x14ac:dyDescent="0.3">
      <c r="A38" s="25">
        <v>37</v>
      </c>
      <c r="B38" s="26" t="s">
        <v>483</v>
      </c>
      <c r="C38" s="27" t="s">
        <v>683</v>
      </c>
      <c r="D38" s="27" t="s">
        <v>261</v>
      </c>
      <c r="E38" s="26" t="s">
        <v>504</v>
      </c>
      <c r="F38" s="26" t="s">
        <v>504</v>
      </c>
      <c r="G38" s="28">
        <v>1016.9</v>
      </c>
      <c r="H38" s="28">
        <v>297.54444444444442</v>
      </c>
      <c r="I38" s="29">
        <v>729</v>
      </c>
      <c r="J38" s="29">
        <v>4764</v>
      </c>
      <c r="K38" s="29">
        <v>1383</v>
      </c>
      <c r="L38" s="29">
        <v>3370</v>
      </c>
      <c r="M38" s="29">
        <v>10246</v>
      </c>
      <c r="N38" s="29">
        <v>9517</v>
      </c>
      <c r="O38" s="29">
        <v>6876</v>
      </c>
      <c r="P38" s="29">
        <v>290</v>
      </c>
      <c r="Q38" s="27">
        <v>706.56111111111113</v>
      </c>
      <c r="R38" s="27">
        <v>804.08333333333337</v>
      </c>
      <c r="S38" s="27">
        <v>746.79444444444448</v>
      </c>
      <c r="T38" s="27">
        <v>760.7833333333333</v>
      </c>
      <c r="U38" s="27">
        <v>780.32222222222219</v>
      </c>
      <c r="V38" s="27">
        <v>757.76666666666665</v>
      </c>
      <c r="W38" s="27">
        <v>794.00555555555559</v>
      </c>
      <c r="X38" s="27">
        <v>630.27777777777783</v>
      </c>
      <c r="Y38" s="27">
        <v>696.13333333333333</v>
      </c>
      <c r="Z38" s="27">
        <v>792.76111111111106</v>
      </c>
      <c r="AA38" s="27">
        <v>787.41111111111115</v>
      </c>
      <c r="AB38" s="27">
        <v>843.05</v>
      </c>
      <c r="AC38" s="27">
        <v>760.31111111111113</v>
      </c>
      <c r="AD38" s="27">
        <v>4643.7555555555555</v>
      </c>
      <c r="AE38" s="27">
        <v>1326.411111111111</v>
      </c>
      <c r="AF38" s="27">
        <v>3183.5333333333333</v>
      </c>
      <c r="AG38" s="27">
        <v>6676.7277777777781</v>
      </c>
      <c r="AH38" s="27">
        <v>9153.7000000000007</v>
      </c>
      <c r="AI38" s="27">
        <v>9860.2611111111109</v>
      </c>
      <c r="AJ38" s="28">
        <v>1047.9444444444443</v>
      </c>
      <c r="AK38" s="28">
        <v>304.54444444444442</v>
      </c>
      <c r="AL38" s="28">
        <v>1352.4888888888888</v>
      </c>
      <c r="AM38" s="29">
        <v>783</v>
      </c>
      <c r="AN38" s="35">
        <v>740</v>
      </c>
      <c r="AO38" s="27">
        <v>808</v>
      </c>
      <c r="AP38" s="27">
        <v>750</v>
      </c>
      <c r="AQ38" s="27">
        <v>742</v>
      </c>
      <c r="AR38" s="27">
        <v>789</v>
      </c>
      <c r="AS38" s="27">
        <v>728</v>
      </c>
      <c r="AT38" s="27">
        <v>758</v>
      </c>
      <c r="AU38" s="27">
        <v>648</v>
      </c>
      <c r="AV38" s="27">
        <v>740</v>
      </c>
      <c r="AW38" s="27">
        <v>963</v>
      </c>
      <c r="AX38" s="27">
        <v>825</v>
      </c>
      <c r="AY38" s="27">
        <v>877</v>
      </c>
      <c r="AZ38" s="27">
        <v>4557</v>
      </c>
      <c r="BA38" s="27">
        <v>1406</v>
      </c>
      <c r="BB38" s="27">
        <v>3405</v>
      </c>
      <c r="BC38" s="27">
        <v>6746</v>
      </c>
      <c r="BD38" s="27">
        <v>9368</v>
      </c>
      <c r="BE38" s="27">
        <v>10151</v>
      </c>
      <c r="BF38" s="27">
        <v>773</v>
      </c>
      <c r="BG38" s="27">
        <v>10</v>
      </c>
      <c r="BH38" s="27">
        <v>6</v>
      </c>
      <c r="BI38" s="27">
        <v>6183</v>
      </c>
      <c r="BJ38" s="27">
        <v>999</v>
      </c>
      <c r="BK38" s="29">
        <v>302</v>
      </c>
      <c r="BL38" s="29">
        <v>1301</v>
      </c>
      <c r="BM38" s="29">
        <v>1910</v>
      </c>
      <c r="BN38" s="30">
        <v>8.4426136547746666E-2</v>
      </c>
      <c r="BO38" s="31">
        <v>709.48199999999986</v>
      </c>
      <c r="BP38" s="31">
        <v>670.48199999999997</v>
      </c>
      <c r="BQ38" s="31">
        <v>604.76900000000001</v>
      </c>
      <c r="BR38" s="31">
        <v>682.98199999999997</v>
      </c>
      <c r="BS38" s="32">
        <v>520</v>
      </c>
      <c r="BT38" s="32">
        <v>0</v>
      </c>
      <c r="BU38" s="33">
        <v>0</v>
      </c>
      <c r="BV38" s="33">
        <v>0.97777700000000001</v>
      </c>
      <c r="BW38" s="33">
        <v>775.02222200000006</v>
      </c>
      <c r="BX38" s="33">
        <v>776</v>
      </c>
      <c r="BY38" s="33">
        <v>719.63333333333333</v>
      </c>
      <c r="BZ38" s="33">
        <v>790.75</v>
      </c>
      <c r="CA38" s="33">
        <v>732.44444444444446</v>
      </c>
      <c r="CB38" s="33">
        <v>729.90555555555557</v>
      </c>
      <c r="CC38" s="33">
        <v>763.37222222222226</v>
      </c>
      <c r="CD38" s="33">
        <v>725.0333333333333</v>
      </c>
      <c r="CE38" s="33">
        <v>733.15555555555557</v>
      </c>
      <c r="CF38" s="33">
        <v>617.05555555555554</v>
      </c>
      <c r="CG38" s="33">
        <v>700.7166666666667</v>
      </c>
      <c r="CH38" s="33">
        <v>895.57777777777778</v>
      </c>
      <c r="CI38" s="33">
        <v>763.64444444444439</v>
      </c>
      <c r="CJ38" s="33">
        <v>808.02777777777783</v>
      </c>
      <c r="CK38" s="33">
        <v>4461.1388888888887</v>
      </c>
      <c r="CL38" s="33">
        <v>1350.2111111111112</v>
      </c>
      <c r="CM38" s="33">
        <v>3167.9666666666667</v>
      </c>
      <c r="CN38" s="33">
        <v>6587.3499999999995</v>
      </c>
      <c r="CO38" s="33">
        <v>8979.3166666666657</v>
      </c>
      <c r="CP38" s="33">
        <v>9755.3166666666657</v>
      </c>
      <c r="CQ38" s="33">
        <v>1022.43888888889</v>
      </c>
      <c r="CR38" s="33">
        <v>317</v>
      </c>
      <c r="CS38" s="33">
        <v>1339.43888888889</v>
      </c>
      <c r="CT38" s="33">
        <v>0</v>
      </c>
      <c r="CU38" s="33">
        <v>737</v>
      </c>
      <c r="CV38" s="32">
        <v>0</v>
      </c>
      <c r="CW38" s="32">
        <v>737</v>
      </c>
      <c r="CX38" s="32">
        <v>790</v>
      </c>
      <c r="CY38" s="32">
        <v>733</v>
      </c>
      <c r="CZ38" s="32">
        <v>814</v>
      </c>
      <c r="DA38" s="32">
        <v>760</v>
      </c>
      <c r="DB38" s="32">
        <v>771</v>
      </c>
      <c r="DC38" s="32">
        <v>795</v>
      </c>
      <c r="DD38" s="32">
        <v>668</v>
      </c>
      <c r="DE38" s="32">
        <v>713</v>
      </c>
      <c r="DF38" s="32">
        <v>650</v>
      </c>
      <c r="DG38" s="32">
        <v>866</v>
      </c>
      <c r="DH38" s="32">
        <v>900</v>
      </c>
      <c r="DI38" s="32">
        <v>848</v>
      </c>
      <c r="DJ38" s="32">
        <v>4663</v>
      </c>
      <c r="DK38" s="32">
        <v>1381</v>
      </c>
      <c r="DL38" s="32">
        <v>3264</v>
      </c>
      <c r="DM38" s="32">
        <v>6781</v>
      </c>
      <c r="DN38" s="32">
        <v>9308</v>
      </c>
      <c r="DO38" s="32">
        <v>10045</v>
      </c>
      <c r="DP38" s="32">
        <v>3</v>
      </c>
      <c r="DQ38" s="32">
        <v>5542</v>
      </c>
      <c r="DR38" s="32">
        <v>1034</v>
      </c>
      <c r="DS38" s="32">
        <v>306</v>
      </c>
      <c r="DT38" s="32">
        <v>1340</v>
      </c>
      <c r="DU38" s="32">
        <v>1984</v>
      </c>
      <c r="DV38" s="33">
        <v>700.4380000000001</v>
      </c>
      <c r="DW38" s="33">
        <v>661.4380000000001</v>
      </c>
      <c r="DX38" s="33">
        <v>272.89999999999998</v>
      </c>
      <c r="DY38" s="33">
        <v>248.31000000000009</v>
      </c>
      <c r="DZ38" s="33">
        <v>0</v>
      </c>
      <c r="EA38" s="33">
        <v>706.4380000000001</v>
      </c>
      <c r="EB38" s="34">
        <v>8.4151350416052983E-2</v>
      </c>
      <c r="EC38" s="32"/>
      <c r="ED38" s="32">
        <v>727</v>
      </c>
      <c r="EE38" s="32">
        <v>9182</v>
      </c>
      <c r="EF38" s="32"/>
      <c r="EG38" s="32"/>
      <c r="EH38" s="33"/>
      <c r="EI38" s="32">
        <v>9909</v>
      </c>
      <c r="EJ38" s="32">
        <v>90</v>
      </c>
      <c r="EK38" s="32">
        <v>1390</v>
      </c>
      <c r="EL38" s="32">
        <v>1480</v>
      </c>
      <c r="EM38" s="32">
        <v>1069</v>
      </c>
      <c r="EN38" s="32">
        <v>321</v>
      </c>
      <c r="EO38" s="32">
        <v>71</v>
      </c>
      <c r="EP38" s="33">
        <v>148.40799999999999</v>
      </c>
      <c r="EQ38" s="33">
        <v>11.278</v>
      </c>
      <c r="ER38" s="33">
        <v>59.192</v>
      </c>
      <c r="ES38" s="33">
        <v>3</v>
      </c>
      <c r="ET38" s="33">
        <v>170.75200000000001</v>
      </c>
      <c r="EU38" s="33">
        <v>392.63</v>
      </c>
    </row>
    <row r="39" spans="1:151" ht="27.6" x14ac:dyDescent="0.3">
      <c r="A39" s="25">
        <v>38</v>
      </c>
      <c r="B39" s="26" t="s">
        <v>484</v>
      </c>
      <c r="C39" s="27" t="s">
        <v>684</v>
      </c>
      <c r="D39" s="27" t="s">
        <v>261</v>
      </c>
      <c r="E39" s="26" t="s">
        <v>504</v>
      </c>
      <c r="F39" s="26" t="s">
        <v>504</v>
      </c>
      <c r="G39" s="28">
        <v>1370.95</v>
      </c>
      <c r="H39" s="28">
        <v>244.76666666666668</v>
      </c>
      <c r="I39" s="29">
        <v>958</v>
      </c>
      <c r="J39" s="29">
        <v>5976</v>
      </c>
      <c r="K39" s="29">
        <v>2066</v>
      </c>
      <c r="L39" s="29">
        <v>4612</v>
      </c>
      <c r="M39" s="29">
        <v>13612</v>
      </c>
      <c r="N39" s="29">
        <v>12654</v>
      </c>
      <c r="O39" s="29">
        <v>9000</v>
      </c>
      <c r="P39" s="29">
        <v>254</v>
      </c>
      <c r="Q39" s="27">
        <v>944.76666666666665</v>
      </c>
      <c r="R39" s="27">
        <v>974.9666666666667</v>
      </c>
      <c r="S39" s="27">
        <v>984.5333333333333</v>
      </c>
      <c r="T39" s="27">
        <v>993.26111111111106</v>
      </c>
      <c r="U39" s="27">
        <v>991.17222222222222</v>
      </c>
      <c r="V39" s="27">
        <v>927.66666666666663</v>
      </c>
      <c r="W39" s="27">
        <v>1015.6333333333333</v>
      </c>
      <c r="X39" s="27">
        <v>980.85</v>
      </c>
      <c r="Y39" s="27">
        <v>1025.8444444444444</v>
      </c>
      <c r="Z39" s="27">
        <v>1137.7111111111112</v>
      </c>
      <c r="AA39" s="27">
        <v>1200.8333333333333</v>
      </c>
      <c r="AB39" s="27">
        <v>1068.8333333333333</v>
      </c>
      <c r="AC39" s="27">
        <v>1043.6777777777777</v>
      </c>
      <c r="AD39" s="27">
        <v>5887.2333333333336</v>
      </c>
      <c r="AE39" s="27">
        <v>2006.6944444444443</v>
      </c>
      <c r="AF39" s="27">
        <v>4451.0555555555557</v>
      </c>
      <c r="AG39" s="27">
        <v>8838.6944444444453</v>
      </c>
      <c r="AH39" s="27">
        <v>12344.983333333335</v>
      </c>
      <c r="AI39" s="27">
        <v>13289.750000000002</v>
      </c>
      <c r="AJ39" s="28">
        <v>1388.1055555555556</v>
      </c>
      <c r="AK39" s="28">
        <v>239.52777777777777</v>
      </c>
      <c r="AL39" s="28">
        <v>1627.6333333333334</v>
      </c>
      <c r="AM39" s="29">
        <v>969</v>
      </c>
      <c r="AN39" s="35">
        <v>965</v>
      </c>
      <c r="AO39" s="27">
        <v>998</v>
      </c>
      <c r="AP39" s="27">
        <v>981</v>
      </c>
      <c r="AQ39" s="27">
        <v>1004</v>
      </c>
      <c r="AR39" s="27">
        <v>1007</v>
      </c>
      <c r="AS39" s="27">
        <v>951</v>
      </c>
      <c r="AT39" s="27">
        <v>1024</v>
      </c>
      <c r="AU39" s="27">
        <v>1003</v>
      </c>
      <c r="AV39" s="27">
        <v>1092</v>
      </c>
      <c r="AW39" s="27">
        <v>1170</v>
      </c>
      <c r="AX39" s="27">
        <v>1202</v>
      </c>
      <c r="AY39" s="27">
        <v>1089</v>
      </c>
      <c r="AZ39" s="27">
        <v>5906</v>
      </c>
      <c r="BA39" s="27">
        <v>2027</v>
      </c>
      <c r="BB39" s="27">
        <v>4553</v>
      </c>
      <c r="BC39" s="27">
        <v>8902</v>
      </c>
      <c r="BD39" s="27">
        <v>12486</v>
      </c>
      <c r="BE39" s="27">
        <v>13455</v>
      </c>
      <c r="BF39" s="27">
        <v>904</v>
      </c>
      <c r="BG39" s="27">
        <v>65</v>
      </c>
      <c r="BH39" s="27">
        <v>9</v>
      </c>
      <c r="BI39" s="27">
        <v>5352</v>
      </c>
      <c r="BJ39" s="27">
        <v>1339</v>
      </c>
      <c r="BK39" s="29">
        <v>255</v>
      </c>
      <c r="BL39" s="29">
        <v>1594</v>
      </c>
      <c r="BM39" s="29">
        <v>2564</v>
      </c>
      <c r="BN39" s="30">
        <v>7.8438417876671884E-2</v>
      </c>
      <c r="BO39" s="31">
        <v>829.7600000000001</v>
      </c>
      <c r="BP39" s="31">
        <v>794.82300000000009</v>
      </c>
      <c r="BQ39" s="31">
        <v>719.87940000000003</v>
      </c>
      <c r="BR39" s="31">
        <v>806.46599999999989</v>
      </c>
      <c r="BS39" s="32">
        <v>80</v>
      </c>
      <c r="BT39" s="32">
        <v>22</v>
      </c>
      <c r="BU39" s="33">
        <v>276.294444</v>
      </c>
      <c r="BV39" s="33">
        <v>47.933332999999998</v>
      </c>
      <c r="BW39" s="33">
        <v>895.12222199999997</v>
      </c>
      <c r="BX39" s="33">
        <v>943.05555555555554</v>
      </c>
      <c r="BY39" s="33">
        <v>949.41666666666663</v>
      </c>
      <c r="BZ39" s="33">
        <v>978.10555555555561</v>
      </c>
      <c r="CA39" s="33">
        <v>973.6</v>
      </c>
      <c r="CB39" s="33">
        <v>985.21111111111111</v>
      </c>
      <c r="CC39" s="33">
        <v>989.52222222222224</v>
      </c>
      <c r="CD39" s="33">
        <v>929.67777777777781</v>
      </c>
      <c r="CE39" s="33">
        <v>1008.5444444444445</v>
      </c>
      <c r="CF39" s="33">
        <v>985.66666666666663</v>
      </c>
      <c r="CG39" s="33">
        <v>1082.4666666666667</v>
      </c>
      <c r="CH39" s="33">
        <v>1143.4000000000001</v>
      </c>
      <c r="CI39" s="33">
        <v>1173.1777777777777</v>
      </c>
      <c r="CJ39" s="33">
        <v>1011.2111111111111</v>
      </c>
      <c r="CK39" s="33">
        <v>5805.5333333333338</v>
      </c>
      <c r="CL39" s="33">
        <v>1994.2111111111112</v>
      </c>
      <c r="CM39" s="33">
        <v>4410.2555555555555</v>
      </c>
      <c r="CN39" s="33">
        <v>8742.7999999999993</v>
      </c>
      <c r="CO39" s="33">
        <v>12210</v>
      </c>
      <c r="CP39" s="33">
        <v>13153.055555555555</v>
      </c>
      <c r="CQ39" s="33">
        <v>1347.5388888888899</v>
      </c>
      <c r="CR39" s="33">
        <v>268.85555555555601</v>
      </c>
      <c r="CS39" s="33">
        <v>1616.394444444446</v>
      </c>
      <c r="CT39" s="33">
        <v>306.61111099999999</v>
      </c>
      <c r="CU39" s="33">
        <v>832</v>
      </c>
      <c r="CV39" s="32">
        <v>41</v>
      </c>
      <c r="CW39" s="32">
        <v>873</v>
      </c>
      <c r="CX39" s="32">
        <v>986</v>
      </c>
      <c r="CY39" s="32">
        <v>955</v>
      </c>
      <c r="CZ39" s="32">
        <v>1004</v>
      </c>
      <c r="DA39" s="32">
        <v>1020</v>
      </c>
      <c r="DB39" s="32">
        <v>998</v>
      </c>
      <c r="DC39" s="32">
        <v>1021</v>
      </c>
      <c r="DD39" s="32">
        <v>935</v>
      </c>
      <c r="DE39" s="32">
        <v>1041</v>
      </c>
      <c r="DF39" s="32">
        <v>1146</v>
      </c>
      <c r="DG39" s="32">
        <v>1106</v>
      </c>
      <c r="DH39" s="32">
        <v>1180</v>
      </c>
      <c r="DI39" s="32">
        <v>1198</v>
      </c>
      <c r="DJ39" s="32">
        <v>5984</v>
      </c>
      <c r="DK39" s="32">
        <v>1976</v>
      </c>
      <c r="DL39" s="32">
        <v>4630</v>
      </c>
      <c r="DM39" s="32">
        <v>8833</v>
      </c>
      <c r="DN39" s="32">
        <v>12590</v>
      </c>
      <c r="DO39" s="32">
        <v>13463</v>
      </c>
      <c r="DP39" s="32">
        <v>5</v>
      </c>
      <c r="DQ39" s="32">
        <v>5191</v>
      </c>
      <c r="DR39" s="32">
        <v>1316</v>
      </c>
      <c r="DS39" s="32">
        <v>282</v>
      </c>
      <c r="DT39" s="32">
        <v>1598</v>
      </c>
      <c r="DU39" s="32">
        <v>2474</v>
      </c>
      <c r="DV39" s="33">
        <v>836.34500000000003</v>
      </c>
      <c r="DW39" s="33">
        <v>792.40800000000002</v>
      </c>
      <c r="DX39" s="33">
        <v>354.976</v>
      </c>
      <c r="DY39" s="33">
        <v>291.65400000000011</v>
      </c>
      <c r="DZ39" s="33">
        <v>6</v>
      </c>
      <c r="EA39" s="33">
        <v>844.19099999999935</v>
      </c>
      <c r="EB39" s="34">
        <v>7.9219538422750924E-2</v>
      </c>
      <c r="EC39" s="32"/>
      <c r="ED39" s="32">
        <v>868</v>
      </c>
      <c r="EE39" s="32">
        <v>12519</v>
      </c>
      <c r="EF39" s="32"/>
      <c r="EG39" s="32"/>
      <c r="EH39" s="33"/>
      <c r="EI39" s="32">
        <v>13387</v>
      </c>
      <c r="EJ39" s="32">
        <v>172</v>
      </c>
      <c r="EK39" s="32">
        <v>1582</v>
      </c>
      <c r="EL39" s="32">
        <v>1754</v>
      </c>
      <c r="EM39" s="32">
        <v>1302</v>
      </c>
      <c r="EN39" s="32">
        <v>280</v>
      </c>
      <c r="EO39" s="32">
        <v>70</v>
      </c>
      <c r="EP39" s="33">
        <v>319.83999999999997</v>
      </c>
      <c r="EQ39" s="33">
        <v>20.83</v>
      </c>
      <c r="ER39" s="33">
        <v>93.18</v>
      </c>
      <c r="ES39" s="33">
        <v>14.89</v>
      </c>
      <c r="ET39" s="33">
        <v>222.5</v>
      </c>
      <c r="EU39" s="33">
        <v>671.24</v>
      </c>
    </row>
    <row r="40" spans="1:151" ht="41.4" x14ac:dyDescent="0.3">
      <c r="A40" s="25">
        <v>39</v>
      </c>
      <c r="B40" s="26" t="s">
        <v>485</v>
      </c>
      <c r="C40" s="27" t="s">
        <v>685</v>
      </c>
      <c r="D40" s="27" t="s">
        <v>261</v>
      </c>
      <c r="E40" s="26" t="s">
        <v>504</v>
      </c>
      <c r="F40" s="26" t="s">
        <v>504</v>
      </c>
      <c r="G40" s="28">
        <v>566.48333333333335</v>
      </c>
      <c r="H40" s="28">
        <v>79.05</v>
      </c>
      <c r="I40" s="29">
        <v>425</v>
      </c>
      <c r="J40" s="29">
        <v>2467</v>
      </c>
      <c r="K40" s="29">
        <v>800</v>
      </c>
      <c r="L40" s="29">
        <v>1451</v>
      </c>
      <c r="M40" s="29">
        <v>5143</v>
      </c>
      <c r="N40" s="29">
        <v>4718</v>
      </c>
      <c r="O40" s="29">
        <v>3692</v>
      </c>
      <c r="P40" s="29">
        <v>95</v>
      </c>
      <c r="Q40" s="27">
        <v>416.28333333333336</v>
      </c>
      <c r="R40" s="27">
        <v>426.02222222222224</v>
      </c>
      <c r="S40" s="27">
        <v>419.25555555555553</v>
      </c>
      <c r="T40" s="27">
        <v>405.52222222222224</v>
      </c>
      <c r="U40" s="27">
        <v>417.08333333333331</v>
      </c>
      <c r="V40" s="27">
        <v>386.9</v>
      </c>
      <c r="W40" s="27">
        <v>350.71666666666664</v>
      </c>
      <c r="X40" s="27">
        <v>399.26666666666665</v>
      </c>
      <c r="Y40" s="27">
        <v>378.62222222222221</v>
      </c>
      <c r="Z40" s="27">
        <v>369.4111111111111</v>
      </c>
      <c r="AA40" s="27">
        <v>357.70555555555558</v>
      </c>
      <c r="AB40" s="27">
        <v>351.92777777777781</v>
      </c>
      <c r="AC40" s="27">
        <v>320.0888888888889</v>
      </c>
      <c r="AD40" s="27">
        <v>2405.5</v>
      </c>
      <c r="AE40" s="27">
        <v>777.88888888888891</v>
      </c>
      <c r="AF40" s="27">
        <v>1399.1333333333334</v>
      </c>
      <c r="AG40" s="27">
        <v>3599.6722222222224</v>
      </c>
      <c r="AH40" s="27">
        <v>4582.5222222222219</v>
      </c>
      <c r="AI40" s="27">
        <v>4998.8055555555557</v>
      </c>
      <c r="AJ40" s="28">
        <v>552.79999999999995</v>
      </c>
      <c r="AK40" s="28">
        <v>93.05</v>
      </c>
      <c r="AL40" s="28">
        <v>645.84999999999991</v>
      </c>
      <c r="AM40" s="29">
        <v>455</v>
      </c>
      <c r="AN40" s="35">
        <v>420</v>
      </c>
      <c r="AO40" s="27">
        <v>414</v>
      </c>
      <c r="AP40" s="27">
        <v>414</v>
      </c>
      <c r="AQ40" s="27">
        <v>402</v>
      </c>
      <c r="AR40" s="27">
        <v>407</v>
      </c>
      <c r="AS40" s="27">
        <v>359</v>
      </c>
      <c r="AT40" s="27">
        <v>358</v>
      </c>
      <c r="AU40" s="27">
        <v>404</v>
      </c>
      <c r="AV40" s="27">
        <v>398</v>
      </c>
      <c r="AW40" s="27">
        <v>375</v>
      </c>
      <c r="AX40" s="27">
        <v>360</v>
      </c>
      <c r="AY40" s="27">
        <v>364</v>
      </c>
      <c r="AZ40" s="27">
        <v>2416</v>
      </c>
      <c r="BA40" s="27">
        <v>762</v>
      </c>
      <c r="BB40" s="27">
        <v>1497</v>
      </c>
      <c r="BC40" s="27">
        <v>3633</v>
      </c>
      <c r="BD40" s="27">
        <v>4675</v>
      </c>
      <c r="BE40" s="27">
        <v>5130</v>
      </c>
      <c r="BF40" s="27">
        <v>453</v>
      </c>
      <c r="BG40" s="27">
        <v>2</v>
      </c>
      <c r="BH40" s="27">
        <v>4</v>
      </c>
      <c r="BI40" s="27">
        <v>2992</v>
      </c>
      <c r="BJ40" s="27">
        <v>524</v>
      </c>
      <c r="BK40" s="29">
        <v>100</v>
      </c>
      <c r="BL40" s="29">
        <v>624</v>
      </c>
      <c r="BM40" s="29">
        <v>920</v>
      </c>
      <c r="BN40" s="30">
        <v>7.7037087697358064E-2</v>
      </c>
      <c r="BO40" s="31">
        <v>312.34999999999997</v>
      </c>
      <c r="BP40" s="31">
        <v>299.85000000000002</v>
      </c>
      <c r="BQ40" s="31">
        <v>280.10000000000002</v>
      </c>
      <c r="BR40" s="31">
        <v>312.34999999999997</v>
      </c>
      <c r="BS40" s="32">
        <v>0</v>
      </c>
      <c r="BT40" s="32">
        <v>0</v>
      </c>
      <c r="BU40" s="33">
        <v>0</v>
      </c>
      <c r="BV40" s="33">
        <v>0</v>
      </c>
      <c r="BW40" s="33">
        <v>449.66666600000002</v>
      </c>
      <c r="BX40" s="33">
        <v>449.66666666666669</v>
      </c>
      <c r="BY40" s="33">
        <v>412.22222222222223</v>
      </c>
      <c r="BZ40" s="33">
        <v>401.18333333333334</v>
      </c>
      <c r="CA40" s="33">
        <v>405.9111111111111</v>
      </c>
      <c r="CB40" s="33">
        <v>389.78333333333336</v>
      </c>
      <c r="CC40" s="33">
        <v>404.13333333333333</v>
      </c>
      <c r="CD40" s="33">
        <v>353.12222222222221</v>
      </c>
      <c r="CE40" s="33">
        <v>351.65</v>
      </c>
      <c r="CF40" s="33">
        <v>392.18888888888887</v>
      </c>
      <c r="CG40" s="33">
        <v>381.43888888888887</v>
      </c>
      <c r="CH40" s="33">
        <v>356.6</v>
      </c>
      <c r="CI40" s="33">
        <v>347.41666666666669</v>
      </c>
      <c r="CJ40" s="33">
        <v>340.63333333333333</v>
      </c>
      <c r="CK40" s="33">
        <v>2366.3555555555554</v>
      </c>
      <c r="CL40" s="33">
        <v>743.83888888888885</v>
      </c>
      <c r="CM40" s="33">
        <v>1426.088888888889</v>
      </c>
      <c r="CN40" s="33">
        <v>3559.8611111111113</v>
      </c>
      <c r="CO40" s="33">
        <v>4536.2833333333328</v>
      </c>
      <c r="CP40" s="33">
        <v>4985.9500000000007</v>
      </c>
      <c r="CQ40" s="33">
        <v>524.65555555555602</v>
      </c>
      <c r="CR40" s="33">
        <v>94.905555555555594</v>
      </c>
      <c r="CS40" s="33">
        <v>619.56111111111159</v>
      </c>
      <c r="CT40" s="33">
        <v>0</v>
      </c>
      <c r="CU40" s="33">
        <v>415</v>
      </c>
      <c r="CV40" s="32">
        <v>1</v>
      </c>
      <c r="CW40" s="32">
        <v>416</v>
      </c>
      <c r="CX40" s="32">
        <v>452</v>
      </c>
      <c r="CY40" s="32">
        <v>419</v>
      </c>
      <c r="CZ40" s="32">
        <v>387</v>
      </c>
      <c r="DA40" s="32">
        <v>415</v>
      </c>
      <c r="DB40" s="32">
        <v>384</v>
      </c>
      <c r="DC40" s="32">
        <v>394</v>
      </c>
      <c r="DD40" s="32">
        <v>369</v>
      </c>
      <c r="DE40" s="32">
        <v>354</v>
      </c>
      <c r="DF40" s="32">
        <v>385</v>
      </c>
      <c r="DG40" s="32">
        <v>378</v>
      </c>
      <c r="DH40" s="32">
        <v>352</v>
      </c>
      <c r="DI40" s="32">
        <v>351</v>
      </c>
      <c r="DJ40" s="32">
        <v>2451</v>
      </c>
      <c r="DK40" s="32">
        <v>723</v>
      </c>
      <c r="DL40" s="32">
        <v>1466</v>
      </c>
      <c r="DM40" s="32">
        <v>3590</v>
      </c>
      <c r="DN40" s="32">
        <v>4640</v>
      </c>
      <c r="DO40" s="32">
        <v>5056</v>
      </c>
      <c r="DP40" s="32">
        <v>0</v>
      </c>
      <c r="DQ40" s="32">
        <v>2443</v>
      </c>
      <c r="DR40" s="32">
        <v>518</v>
      </c>
      <c r="DS40" s="32">
        <v>102</v>
      </c>
      <c r="DT40" s="32">
        <v>620</v>
      </c>
      <c r="DU40" s="32">
        <v>961</v>
      </c>
      <c r="DV40" s="33">
        <v>314.60000000000002</v>
      </c>
      <c r="DW40" s="33">
        <v>301.60000000000002</v>
      </c>
      <c r="DX40" s="33">
        <v>139.34</v>
      </c>
      <c r="DY40" s="33">
        <v>103.66999999999999</v>
      </c>
      <c r="DZ40" s="33">
        <v>0</v>
      </c>
      <c r="EA40" s="33">
        <v>333.09999999999997</v>
      </c>
      <c r="EB40" s="34">
        <v>7.7694332610715233E-2</v>
      </c>
      <c r="EC40" s="32"/>
      <c r="ED40" s="32">
        <v>415</v>
      </c>
      <c r="EE40" s="32">
        <v>4623</v>
      </c>
      <c r="EF40" s="32"/>
      <c r="EG40" s="32"/>
      <c r="EH40" s="33"/>
      <c r="EI40" s="32">
        <v>5038</v>
      </c>
      <c r="EJ40" s="32">
        <v>100</v>
      </c>
      <c r="EK40" s="32">
        <v>608</v>
      </c>
      <c r="EL40" s="32">
        <v>708</v>
      </c>
      <c r="EM40" s="32">
        <v>504</v>
      </c>
      <c r="EN40" s="32">
        <v>104</v>
      </c>
      <c r="EO40" s="32">
        <v>30</v>
      </c>
      <c r="EP40" s="33">
        <v>92.07</v>
      </c>
      <c r="EQ40" s="33">
        <v>2.27</v>
      </c>
      <c r="ER40" s="33">
        <v>18.57</v>
      </c>
      <c r="ES40" s="33">
        <v>1</v>
      </c>
      <c r="ET40" s="33">
        <v>138.99</v>
      </c>
      <c r="EU40" s="33">
        <v>252.9</v>
      </c>
    </row>
    <row r="41" spans="1:151" ht="41.4" x14ac:dyDescent="0.3">
      <c r="A41" s="25">
        <v>40</v>
      </c>
      <c r="B41" s="26" t="s">
        <v>486</v>
      </c>
      <c r="C41" s="27" t="s">
        <v>686</v>
      </c>
      <c r="D41" s="27" t="s">
        <v>261</v>
      </c>
      <c r="E41" s="26" t="s">
        <v>504</v>
      </c>
      <c r="F41" s="26" t="s">
        <v>504</v>
      </c>
      <c r="G41" s="28">
        <v>820.70555555555552</v>
      </c>
      <c r="H41" s="28">
        <v>74.983333333333334</v>
      </c>
      <c r="I41" s="29">
        <v>416</v>
      </c>
      <c r="J41" s="29">
        <v>2559</v>
      </c>
      <c r="K41" s="29">
        <v>942</v>
      </c>
      <c r="L41" s="29">
        <v>1851</v>
      </c>
      <c r="M41" s="29">
        <v>5768</v>
      </c>
      <c r="N41" s="29">
        <v>5352</v>
      </c>
      <c r="O41" s="29">
        <v>3917</v>
      </c>
      <c r="P41" s="29">
        <v>84</v>
      </c>
      <c r="Q41" s="27">
        <v>408.27222222222224</v>
      </c>
      <c r="R41" s="27">
        <v>407.95</v>
      </c>
      <c r="S41" s="27">
        <v>409.85555555555555</v>
      </c>
      <c r="T41" s="27">
        <v>433.31666666666666</v>
      </c>
      <c r="U41" s="27">
        <v>429.34444444444443</v>
      </c>
      <c r="V41" s="27">
        <v>414.45555555555558</v>
      </c>
      <c r="W41" s="27">
        <v>425.57222222222219</v>
      </c>
      <c r="X41" s="27">
        <v>476.6611111111111</v>
      </c>
      <c r="Y41" s="27">
        <v>457.28333333333336</v>
      </c>
      <c r="Z41" s="27">
        <v>447.09444444444443</v>
      </c>
      <c r="AA41" s="27">
        <v>460.75555555555553</v>
      </c>
      <c r="AB41" s="27">
        <v>452.03888888888889</v>
      </c>
      <c r="AC41" s="27">
        <v>418.50555555555553</v>
      </c>
      <c r="AD41" s="27">
        <v>2520.4944444444445</v>
      </c>
      <c r="AE41" s="27">
        <v>933.94444444444446</v>
      </c>
      <c r="AF41" s="27">
        <v>1778.3944444444442</v>
      </c>
      <c r="AG41" s="27">
        <v>3862.7111111111112</v>
      </c>
      <c r="AH41" s="27">
        <v>5232.8333333333339</v>
      </c>
      <c r="AI41" s="27">
        <v>5641.1055555555558</v>
      </c>
      <c r="AJ41" s="28">
        <v>791.4666666666667</v>
      </c>
      <c r="AK41" s="28">
        <v>80.05</v>
      </c>
      <c r="AL41" s="28">
        <v>871.51666666666665</v>
      </c>
      <c r="AM41" s="29">
        <v>348</v>
      </c>
      <c r="AN41" s="35">
        <v>422</v>
      </c>
      <c r="AO41" s="27">
        <v>416</v>
      </c>
      <c r="AP41" s="27">
        <v>419</v>
      </c>
      <c r="AQ41" s="27">
        <v>440</v>
      </c>
      <c r="AR41" s="27">
        <v>416</v>
      </c>
      <c r="AS41" s="27">
        <v>404</v>
      </c>
      <c r="AT41" s="27">
        <v>441</v>
      </c>
      <c r="AU41" s="27">
        <v>479</v>
      </c>
      <c r="AV41" s="27">
        <v>445</v>
      </c>
      <c r="AW41" s="27">
        <v>452</v>
      </c>
      <c r="AX41" s="27">
        <v>465</v>
      </c>
      <c r="AY41" s="27">
        <v>454</v>
      </c>
      <c r="AZ41" s="27">
        <v>2517</v>
      </c>
      <c r="BA41" s="27">
        <v>920</v>
      </c>
      <c r="BB41" s="27">
        <v>1816</v>
      </c>
      <c r="BC41" s="27">
        <v>3785</v>
      </c>
      <c r="BD41" s="27">
        <v>5253</v>
      </c>
      <c r="BE41" s="27">
        <v>5601</v>
      </c>
      <c r="BF41" s="27">
        <v>339</v>
      </c>
      <c r="BG41" s="27">
        <v>9</v>
      </c>
      <c r="BH41" s="27">
        <v>6</v>
      </c>
      <c r="BI41" s="27">
        <v>2201</v>
      </c>
      <c r="BJ41" s="27">
        <v>745</v>
      </c>
      <c r="BK41" s="29">
        <v>81</v>
      </c>
      <c r="BL41" s="29">
        <v>826</v>
      </c>
      <c r="BM41" s="29">
        <v>605</v>
      </c>
      <c r="BN41" s="30">
        <v>9.7313073362380209E-2</v>
      </c>
      <c r="BO41" s="31">
        <v>352.31</v>
      </c>
      <c r="BP41" s="31">
        <v>334.31</v>
      </c>
      <c r="BQ41" s="31">
        <v>299.56</v>
      </c>
      <c r="BR41" s="31">
        <v>346.60999999999996</v>
      </c>
      <c r="BS41" s="32">
        <v>0</v>
      </c>
      <c r="BT41" s="32">
        <v>0</v>
      </c>
      <c r="BU41" s="33">
        <v>0</v>
      </c>
      <c r="BV41" s="33">
        <v>11.066666</v>
      </c>
      <c r="BW41" s="33">
        <v>339.05555500000003</v>
      </c>
      <c r="BX41" s="33">
        <v>350.12222222222221</v>
      </c>
      <c r="BY41" s="33">
        <v>408.22222222222223</v>
      </c>
      <c r="BZ41" s="33">
        <v>413.19444444444446</v>
      </c>
      <c r="CA41" s="33">
        <v>411.52222222222224</v>
      </c>
      <c r="CB41" s="33">
        <v>433.53888888888889</v>
      </c>
      <c r="CC41" s="33">
        <v>420.86666666666667</v>
      </c>
      <c r="CD41" s="33">
        <v>397.59444444444443</v>
      </c>
      <c r="CE41" s="33">
        <v>427.97777777777776</v>
      </c>
      <c r="CF41" s="33">
        <v>469.95555555555558</v>
      </c>
      <c r="CG41" s="33">
        <v>435.07777777777778</v>
      </c>
      <c r="CH41" s="33">
        <v>438.68333333333334</v>
      </c>
      <c r="CI41" s="33">
        <v>446.45</v>
      </c>
      <c r="CJ41" s="33">
        <v>424.27222222222224</v>
      </c>
      <c r="CK41" s="33">
        <v>2484.9388888888889</v>
      </c>
      <c r="CL41" s="33">
        <v>897.93333333333339</v>
      </c>
      <c r="CM41" s="33">
        <v>1744.4833333333336</v>
      </c>
      <c r="CN41" s="33">
        <v>3732.9944444444445</v>
      </c>
      <c r="CO41" s="33">
        <v>5127.3555555555549</v>
      </c>
      <c r="CP41" s="33">
        <v>5477.4777777777772</v>
      </c>
      <c r="CQ41" s="33">
        <v>758.61666666666702</v>
      </c>
      <c r="CR41" s="33">
        <v>70.177777777777806</v>
      </c>
      <c r="CS41" s="33">
        <v>828.79444444444482</v>
      </c>
      <c r="CT41" s="33">
        <v>0</v>
      </c>
      <c r="CU41" s="33">
        <v>361</v>
      </c>
      <c r="CV41" s="32">
        <v>20</v>
      </c>
      <c r="CW41" s="32">
        <v>381</v>
      </c>
      <c r="CX41" s="32">
        <v>363</v>
      </c>
      <c r="CY41" s="32">
        <v>417</v>
      </c>
      <c r="CZ41" s="32">
        <v>424</v>
      </c>
      <c r="DA41" s="32">
        <v>410</v>
      </c>
      <c r="DB41" s="32">
        <v>444</v>
      </c>
      <c r="DC41" s="32">
        <v>423</v>
      </c>
      <c r="DD41" s="32">
        <v>412</v>
      </c>
      <c r="DE41" s="32">
        <v>443</v>
      </c>
      <c r="DF41" s="32">
        <v>462</v>
      </c>
      <c r="DG41" s="32">
        <v>460</v>
      </c>
      <c r="DH41" s="32">
        <v>445</v>
      </c>
      <c r="DI41" s="32">
        <v>455</v>
      </c>
      <c r="DJ41" s="32">
        <v>2481</v>
      </c>
      <c r="DK41" s="32">
        <v>855</v>
      </c>
      <c r="DL41" s="32">
        <v>1822</v>
      </c>
      <c r="DM41" s="32">
        <v>3717</v>
      </c>
      <c r="DN41" s="32">
        <v>5158</v>
      </c>
      <c r="DO41" s="32">
        <v>5539</v>
      </c>
      <c r="DP41" s="32">
        <v>7</v>
      </c>
      <c r="DQ41" s="32">
        <v>2178</v>
      </c>
      <c r="DR41" s="32">
        <v>727</v>
      </c>
      <c r="DS41" s="32">
        <v>71</v>
      </c>
      <c r="DT41" s="32">
        <v>798</v>
      </c>
      <c r="DU41" s="32">
        <v>644</v>
      </c>
      <c r="DV41" s="33">
        <v>353.37499999999994</v>
      </c>
      <c r="DW41" s="33">
        <v>335.37499999999994</v>
      </c>
      <c r="DX41" s="33">
        <v>147.69999999999999</v>
      </c>
      <c r="DY41" s="33">
        <v>120.24</v>
      </c>
      <c r="DZ41" s="33">
        <v>0</v>
      </c>
      <c r="EA41" s="33">
        <v>357.375</v>
      </c>
      <c r="EB41" s="34">
        <v>9.6809763027292939E-2</v>
      </c>
      <c r="EC41" s="32"/>
      <c r="ED41" s="32">
        <v>377</v>
      </c>
      <c r="EE41" s="32">
        <v>5108</v>
      </c>
      <c r="EF41" s="32"/>
      <c r="EG41" s="32"/>
      <c r="EH41" s="33"/>
      <c r="EI41" s="32">
        <v>5485</v>
      </c>
      <c r="EJ41" s="32">
        <v>44</v>
      </c>
      <c r="EK41" s="32">
        <v>807</v>
      </c>
      <c r="EL41" s="32">
        <v>851</v>
      </c>
      <c r="EM41" s="32">
        <v>729</v>
      </c>
      <c r="EN41" s="32">
        <v>78</v>
      </c>
      <c r="EO41" s="32">
        <v>58</v>
      </c>
      <c r="EP41" s="33">
        <v>166.81899999999999</v>
      </c>
      <c r="EQ41" s="33">
        <v>6.5750000000000002</v>
      </c>
      <c r="ER41" s="33">
        <v>26.175000000000001</v>
      </c>
      <c r="ES41" s="33">
        <v>8.0250000000000004</v>
      </c>
      <c r="ET41" s="33">
        <v>95.480999999999995</v>
      </c>
      <c r="EU41" s="33">
        <v>303.07499999999999</v>
      </c>
    </row>
    <row r="42" spans="1:151" ht="41.4" x14ac:dyDescent="0.3">
      <c r="A42" s="25">
        <v>41</v>
      </c>
      <c r="B42" s="26">
        <v>410</v>
      </c>
      <c r="C42" s="27" t="s">
        <v>501</v>
      </c>
      <c r="D42" s="27" t="s">
        <v>453</v>
      </c>
      <c r="E42" s="26" t="s">
        <v>504</v>
      </c>
      <c r="F42" s="26" t="s">
        <v>504</v>
      </c>
      <c r="G42" s="28">
        <v>0</v>
      </c>
      <c r="H42" s="28">
        <v>182.65</v>
      </c>
      <c r="I42" s="29">
        <v>30</v>
      </c>
      <c r="J42" s="29">
        <v>93</v>
      </c>
      <c r="K42" s="29">
        <v>16</v>
      </c>
      <c r="L42" s="29">
        <v>47</v>
      </c>
      <c r="M42" s="29">
        <v>186</v>
      </c>
      <c r="N42" s="29">
        <v>156</v>
      </c>
      <c r="O42" s="29">
        <v>139</v>
      </c>
      <c r="P42" s="29">
        <v>174</v>
      </c>
      <c r="Q42" s="27">
        <v>3.2888888888888888</v>
      </c>
      <c r="R42" s="27">
        <v>0.31666666666666665</v>
      </c>
      <c r="S42" s="27">
        <v>1.6277777777777778</v>
      </c>
      <c r="T42" s="27">
        <v>5.5555555555555558E-3</v>
      </c>
      <c r="U42" s="27">
        <v>0.11666666666666667</v>
      </c>
      <c r="V42" s="27">
        <v>2.3222222222222224</v>
      </c>
      <c r="W42" s="27">
        <v>1.4166666666666667</v>
      </c>
      <c r="X42" s="27">
        <v>1.1111111111111112E-2</v>
      </c>
      <c r="Y42" s="27">
        <v>0</v>
      </c>
      <c r="Z42" s="27">
        <v>3.3333333333333333E-2</v>
      </c>
      <c r="AA42" s="27">
        <v>2.0444444444444443</v>
      </c>
      <c r="AB42" s="27">
        <v>7.7777777777777779E-2</v>
      </c>
      <c r="AC42" s="27">
        <v>0</v>
      </c>
      <c r="AD42" s="27">
        <v>5.8055555555555562</v>
      </c>
      <c r="AE42" s="27">
        <v>1.1111111111111112E-2</v>
      </c>
      <c r="AF42" s="27">
        <v>2.1555555555555554</v>
      </c>
      <c r="AG42" s="27">
        <v>9.1055555555555543</v>
      </c>
      <c r="AH42" s="27">
        <v>7.9722222222222223</v>
      </c>
      <c r="AI42" s="27">
        <v>11.261111111111109</v>
      </c>
      <c r="AJ42" s="28">
        <v>0</v>
      </c>
      <c r="AK42" s="28">
        <v>172.96666666666667</v>
      </c>
      <c r="AL42" s="28">
        <v>172.96666666666667</v>
      </c>
      <c r="AM42" s="29">
        <v>33</v>
      </c>
      <c r="AN42" s="35">
        <v>27</v>
      </c>
      <c r="AO42" s="27">
        <v>21</v>
      </c>
      <c r="AP42" s="27">
        <v>17</v>
      </c>
      <c r="AQ42" s="27">
        <v>13</v>
      </c>
      <c r="AR42" s="27">
        <v>15</v>
      </c>
      <c r="AS42" s="27">
        <v>14</v>
      </c>
      <c r="AT42" s="27">
        <v>5</v>
      </c>
      <c r="AU42" s="27">
        <v>7</v>
      </c>
      <c r="AV42" s="27">
        <v>9</v>
      </c>
      <c r="AW42" s="27">
        <v>12</v>
      </c>
      <c r="AX42" s="27">
        <v>13</v>
      </c>
      <c r="AY42" s="27">
        <v>10</v>
      </c>
      <c r="AZ42" s="27">
        <v>107</v>
      </c>
      <c r="BA42" s="27">
        <v>12</v>
      </c>
      <c r="BB42" s="27">
        <v>44</v>
      </c>
      <c r="BC42" s="27">
        <v>152</v>
      </c>
      <c r="BD42" s="27">
        <v>163</v>
      </c>
      <c r="BE42" s="27">
        <v>196</v>
      </c>
      <c r="BF42" s="27">
        <v>33</v>
      </c>
      <c r="BG42" s="27">
        <v>0</v>
      </c>
      <c r="BH42" s="27">
        <v>0</v>
      </c>
      <c r="BI42" s="27">
        <v>68</v>
      </c>
      <c r="BJ42" s="27">
        <v>0</v>
      </c>
      <c r="BK42" s="29">
        <v>178</v>
      </c>
      <c r="BL42" s="29">
        <v>178</v>
      </c>
      <c r="BM42" s="29">
        <v>0</v>
      </c>
      <c r="BN42" s="30">
        <v>0.10238701364007774</v>
      </c>
      <c r="BO42" s="31">
        <v>191.28900000000004</v>
      </c>
      <c r="BP42" s="31">
        <v>186.33000000000004</v>
      </c>
      <c r="BQ42" s="31">
        <v>165.62</v>
      </c>
      <c r="BR42" s="31">
        <v>194.28900000000002</v>
      </c>
      <c r="BS42" s="32">
        <v>0</v>
      </c>
      <c r="BT42" s="32">
        <v>0</v>
      </c>
      <c r="BU42" s="33">
        <v>0</v>
      </c>
      <c r="BV42" s="33">
        <v>0</v>
      </c>
      <c r="BW42" s="33">
        <v>4.8666660000000004</v>
      </c>
      <c r="BX42" s="33">
        <v>4.8666666666666663</v>
      </c>
      <c r="BY42" s="33">
        <v>2.3722222222222222</v>
      </c>
      <c r="BZ42" s="33">
        <v>1.0277777777777777</v>
      </c>
      <c r="CA42" s="33">
        <v>3.2222222222222223</v>
      </c>
      <c r="CB42" s="33">
        <v>0.17222222222222222</v>
      </c>
      <c r="CC42" s="33">
        <v>1.05</v>
      </c>
      <c r="CD42" s="33">
        <v>2</v>
      </c>
      <c r="CE42" s="33">
        <v>0</v>
      </c>
      <c r="CF42" s="33">
        <v>2.7777777777777776E-2</v>
      </c>
      <c r="CG42" s="33">
        <v>0</v>
      </c>
      <c r="CH42" s="33">
        <v>2.2222222222222223E-2</v>
      </c>
      <c r="CI42" s="33">
        <v>2</v>
      </c>
      <c r="CJ42" s="33">
        <v>5.5555555555555558E-3</v>
      </c>
      <c r="CK42" s="33">
        <v>9.844444444444445</v>
      </c>
      <c r="CL42" s="33">
        <v>2.7777777777777776E-2</v>
      </c>
      <c r="CM42" s="33">
        <v>2.0277777777777777</v>
      </c>
      <c r="CN42" s="33">
        <v>14.738888888888889</v>
      </c>
      <c r="CO42" s="33">
        <v>11.900000000000002</v>
      </c>
      <c r="CP42" s="33">
        <v>16.766666666666669</v>
      </c>
      <c r="CQ42" s="33">
        <v>0</v>
      </c>
      <c r="CR42" s="33">
        <v>179.544444444444</v>
      </c>
      <c r="CS42" s="33">
        <v>179.544444444444</v>
      </c>
      <c r="CT42" s="33">
        <v>0</v>
      </c>
      <c r="CU42" s="33">
        <v>0</v>
      </c>
      <c r="CV42" s="32">
        <v>0</v>
      </c>
      <c r="CW42" s="32">
        <v>0</v>
      </c>
      <c r="CX42" s="32">
        <v>0</v>
      </c>
      <c r="CY42" s="32">
        <v>0</v>
      </c>
      <c r="CZ42" s="32">
        <v>0</v>
      </c>
      <c r="DA42" s="32">
        <v>0</v>
      </c>
      <c r="DB42" s="32">
        <v>0</v>
      </c>
      <c r="DC42" s="32">
        <v>0</v>
      </c>
      <c r="DD42" s="32">
        <v>0</v>
      </c>
      <c r="DE42" s="32">
        <v>0</v>
      </c>
      <c r="DF42" s="32">
        <v>0</v>
      </c>
      <c r="DG42" s="32">
        <v>0</v>
      </c>
      <c r="DH42" s="32">
        <v>0</v>
      </c>
      <c r="DI42" s="32">
        <v>0</v>
      </c>
      <c r="DJ42" s="32">
        <v>0</v>
      </c>
      <c r="DK42" s="32">
        <v>0</v>
      </c>
      <c r="DL42" s="32">
        <v>0</v>
      </c>
      <c r="DM42" s="32">
        <v>0</v>
      </c>
      <c r="DN42" s="32">
        <v>0</v>
      </c>
      <c r="DO42" s="32">
        <v>0</v>
      </c>
      <c r="DP42" s="32">
        <v>0</v>
      </c>
      <c r="DQ42" s="32">
        <v>0</v>
      </c>
      <c r="DR42" s="32">
        <v>0</v>
      </c>
      <c r="DS42" s="32">
        <v>0</v>
      </c>
      <c r="DT42" s="32">
        <v>0</v>
      </c>
      <c r="DU42" s="32">
        <v>0</v>
      </c>
      <c r="DV42" s="33">
        <v>197.5325</v>
      </c>
      <c r="DW42" s="33">
        <v>192.36999999999998</v>
      </c>
      <c r="DX42" s="33">
        <v>89.990000000000009</v>
      </c>
      <c r="DY42" s="33">
        <v>73.59</v>
      </c>
      <c r="DZ42" s="33">
        <v>0</v>
      </c>
      <c r="EA42" s="33">
        <v>216.23600000000002</v>
      </c>
      <c r="EB42" s="34">
        <v>0.10137975462209625</v>
      </c>
      <c r="EC42" s="32"/>
      <c r="ED42" s="32">
        <v>0</v>
      </c>
      <c r="EE42" s="32">
        <v>0</v>
      </c>
      <c r="EF42" s="32"/>
      <c r="EG42" s="32"/>
      <c r="EH42" s="33"/>
      <c r="EI42" s="32">
        <v>0</v>
      </c>
      <c r="EJ42" s="32">
        <v>86</v>
      </c>
      <c r="EK42" s="32">
        <v>191</v>
      </c>
      <c r="EL42" s="32">
        <v>277</v>
      </c>
      <c r="EM42" s="32">
        <v>0</v>
      </c>
      <c r="EN42" s="32">
        <v>191</v>
      </c>
      <c r="EO42" s="32">
        <v>37</v>
      </c>
      <c r="EP42" s="33">
        <v>126</v>
      </c>
      <c r="EQ42" s="33">
        <v>7</v>
      </c>
      <c r="ER42" s="33">
        <v>17</v>
      </c>
      <c r="ES42" s="33">
        <v>64</v>
      </c>
      <c r="ET42" s="33">
        <v>53</v>
      </c>
      <c r="EU42" s="33">
        <v>267</v>
      </c>
    </row>
    <row r="43" spans="1:151" ht="41.4" x14ac:dyDescent="0.3">
      <c r="A43" s="25">
        <v>42</v>
      </c>
      <c r="B43" s="26" t="s">
        <v>487</v>
      </c>
      <c r="C43" s="27" t="s">
        <v>687</v>
      </c>
      <c r="D43" s="27" t="s">
        <v>261</v>
      </c>
      <c r="E43" s="26" t="s">
        <v>504</v>
      </c>
      <c r="F43" s="26" t="s">
        <v>504</v>
      </c>
      <c r="G43" s="28">
        <v>3224.7944444444443</v>
      </c>
      <c r="H43" s="28">
        <v>555.25555555555559</v>
      </c>
      <c r="I43" s="29">
        <v>2067</v>
      </c>
      <c r="J43" s="29">
        <v>14189</v>
      </c>
      <c r="K43" s="29">
        <v>5322</v>
      </c>
      <c r="L43" s="29">
        <v>11355</v>
      </c>
      <c r="M43" s="29">
        <v>32933</v>
      </c>
      <c r="N43" s="29">
        <v>30866</v>
      </c>
      <c r="O43" s="29">
        <v>21578</v>
      </c>
      <c r="P43" s="29">
        <v>656</v>
      </c>
      <c r="Q43" s="27">
        <v>2030.2444444444445</v>
      </c>
      <c r="R43" s="27">
        <v>2186.9</v>
      </c>
      <c r="S43" s="27">
        <v>2289.1777777777779</v>
      </c>
      <c r="T43" s="27">
        <v>2415.9888888888891</v>
      </c>
      <c r="U43" s="27">
        <v>2340.1</v>
      </c>
      <c r="V43" s="27">
        <v>2376.25</v>
      </c>
      <c r="W43" s="27">
        <v>2358.9944444444445</v>
      </c>
      <c r="X43" s="27">
        <v>2562.6777777777779</v>
      </c>
      <c r="Y43" s="27">
        <v>2603.1722222222224</v>
      </c>
      <c r="Z43" s="27">
        <v>2939.0833333333335</v>
      </c>
      <c r="AA43" s="27">
        <v>2847.15</v>
      </c>
      <c r="AB43" s="27">
        <v>2768.8944444444446</v>
      </c>
      <c r="AC43" s="27">
        <v>2350.9166666666665</v>
      </c>
      <c r="AD43" s="27">
        <v>13967.411111111112</v>
      </c>
      <c r="AE43" s="27">
        <v>5165.8500000000004</v>
      </c>
      <c r="AF43" s="27">
        <v>10906.044444444444</v>
      </c>
      <c r="AG43" s="27">
        <v>21163.505555555555</v>
      </c>
      <c r="AH43" s="27">
        <v>30039.305555555562</v>
      </c>
      <c r="AI43" s="27">
        <v>32069.550000000003</v>
      </c>
      <c r="AJ43" s="28">
        <v>3258.5444444444443</v>
      </c>
      <c r="AK43" s="28">
        <v>616.02777777777783</v>
      </c>
      <c r="AL43" s="28">
        <v>3874.5722222222221</v>
      </c>
      <c r="AM43" s="29">
        <v>1948</v>
      </c>
      <c r="AN43" s="35">
        <v>2197</v>
      </c>
      <c r="AO43" s="27">
        <v>2216</v>
      </c>
      <c r="AP43" s="27">
        <v>2363</v>
      </c>
      <c r="AQ43" s="27">
        <v>2488</v>
      </c>
      <c r="AR43" s="27">
        <v>2384</v>
      </c>
      <c r="AS43" s="27">
        <v>2421</v>
      </c>
      <c r="AT43" s="27">
        <v>2469</v>
      </c>
      <c r="AU43" s="27">
        <v>2667</v>
      </c>
      <c r="AV43" s="27">
        <v>2922</v>
      </c>
      <c r="AW43" s="27">
        <v>3037</v>
      </c>
      <c r="AX43" s="27">
        <v>2832</v>
      </c>
      <c r="AY43" s="27">
        <v>2789</v>
      </c>
      <c r="AZ43" s="27">
        <v>14069</v>
      </c>
      <c r="BA43" s="27">
        <v>5136</v>
      </c>
      <c r="BB43" s="27">
        <v>11580</v>
      </c>
      <c r="BC43" s="27">
        <v>21153</v>
      </c>
      <c r="BD43" s="27">
        <v>30785</v>
      </c>
      <c r="BE43" s="27">
        <v>32733</v>
      </c>
      <c r="BF43" s="27">
        <v>1875</v>
      </c>
      <c r="BG43" s="27">
        <v>73</v>
      </c>
      <c r="BH43" s="27">
        <v>20</v>
      </c>
      <c r="BI43" s="27">
        <v>8945</v>
      </c>
      <c r="BJ43" s="27">
        <v>3283</v>
      </c>
      <c r="BK43" s="29">
        <v>620</v>
      </c>
      <c r="BL43" s="29">
        <v>3903</v>
      </c>
      <c r="BM43" s="29">
        <v>3486</v>
      </c>
      <c r="BN43" s="30">
        <v>8.4486000567662978E-2</v>
      </c>
      <c r="BO43" s="31">
        <v>1965.1003199999986</v>
      </c>
      <c r="BP43" s="31">
        <v>1877.4333199999987</v>
      </c>
      <c r="BQ43" s="31">
        <v>1666.1375199999998</v>
      </c>
      <c r="BR43" s="31">
        <v>1901.0335199999986</v>
      </c>
      <c r="BS43" s="32">
        <v>0</v>
      </c>
      <c r="BT43" s="32">
        <v>0</v>
      </c>
      <c r="BU43" s="33">
        <v>724.53888800000004</v>
      </c>
      <c r="BV43" s="33">
        <v>60.633333</v>
      </c>
      <c r="BW43" s="33">
        <v>1863.55</v>
      </c>
      <c r="BX43" s="33">
        <v>1924.1833333333334</v>
      </c>
      <c r="BY43" s="33">
        <v>2164.5666666666666</v>
      </c>
      <c r="BZ43" s="33">
        <v>2194.0944444444444</v>
      </c>
      <c r="CA43" s="33">
        <v>2331.1444444444446</v>
      </c>
      <c r="CB43" s="33">
        <v>2444.1833333333334</v>
      </c>
      <c r="CC43" s="33">
        <v>2346.0055555555555</v>
      </c>
      <c r="CD43" s="33">
        <v>2388.4499999999998</v>
      </c>
      <c r="CE43" s="33">
        <v>2402.2388888888891</v>
      </c>
      <c r="CF43" s="33">
        <v>2612.3166666666666</v>
      </c>
      <c r="CG43" s="33">
        <v>2887.6833333333334</v>
      </c>
      <c r="CH43" s="33">
        <v>2972.1055555555554</v>
      </c>
      <c r="CI43" s="33">
        <v>2763.911111111111</v>
      </c>
      <c r="CJ43" s="33">
        <v>2360.5333333333333</v>
      </c>
      <c r="CK43" s="33">
        <v>13868.444444444445</v>
      </c>
      <c r="CL43" s="33">
        <v>5014.5555555555557</v>
      </c>
      <c r="CM43" s="33">
        <v>10984.233333333332</v>
      </c>
      <c r="CN43" s="33">
        <v>20807.183333333334</v>
      </c>
      <c r="CO43" s="33">
        <v>29867.233333333334</v>
      </c>
      <c r="CP43" s="33">
        <v>31791.416666666668</v>
      </c>
      <c r="CQ43" s="33">
        <v>3350.9777777777799</v>
      </c>
      <c r="CR43" s="33">
        <v>613.82777777777801</v>
      </c>
      <c r="CS43" s="33">
        <v>3964.8055555555579</v>
      </c>
      <c r="CT43" s="33">
        <v>0</v>
      </c>
      <c r="CU43" s="33">
        <v>1877</v>
      </c>
      <c r="CV43" s="32">
        <v>53</v>
      </c>
      <c r="CW43" s="32">
        <v>1930</v>
      </c>
      <c r="CX43" s="32">
        <v>1983</v>
      </c>
      <c r="CY43" s="32">
        <v>2241</v>
      </c>
      <c r="CZ43" s="32">
        <v>2234</v>
      </c>
      <c r="DA43" s="32">
        <v>2359</v>
      </c>
      <c r="DB43" s="32">
        <v>2499</v>
      </c>
      <c r="DC43" s="32">
        <v>2416</v>
      </c>
      <c r="DD43" s="32">
        <v>2487</v>
      </c>
      <c r="DE43" s="32">
        <v>2455</v>
      </c>
      <c r="DF43" s="32">
        <v>2933</v>
      </c>
      <c r="DG43" s="32">
        <v>2955</v>
      </c>
      <c r="DH43" s="32">
        <v>2990</v>
      </c>
      <c r="DI43" s="32">
        <v>2807</v>
      </c>
      <c r="DJ43" s="32">
        <v>13732</v>
      </c>
      <c r="DK43" s="32">
        <v>4942</v>
      </c>
      <c r="DL43" s="32">
        <v>11685</v>
      </c>
      <c r="DM43" s="32">
        <v>20604</v>
      </c>
      <c r="DN43" s="32">
        <v>30359</v>
      </c>
      <c r="DO43" s="32">
        <v>32289</v>
      </c>
      <c r="DP43" s="32">
        <v>15</v>
      </c>
      <c r="DQ43" s="32">
        <v>8184</v>
      </c>
      <c r="DR43" s="32">
        <v>3225</v>
      </c>
      <c r="DS43" s="32">
        <v>596</v>
      </c>
      <c r="DT43" s="32">
        <v>3821</v>
      </c>
      <c r="DU43" s="32">
        <v>3591</v>
      </c>
      <c r="DV43" s="33">
        <v>1965.837749999999</v>
      </c>
      <c r="DW43" s="33">
        <v>1870.156749999999</v>
      </c>
      <c r="DX43" s="33">
        <v>758.87999999999988</v>
      </c>
      <c r="DY43" s="33">
        <v>761.76200000000006</v>
      </c>
      <c r="DZ43" s="33">
        <v>0</v>
      </c>
      <c r="EA43" s="33">
        <v>1982.8397499999992</v>
      </c>
      <c r="EB43" s="34">
        <v>8.4448971770838099E-2</v>
      </c>
      <c r="EC43" s="32"/>
      <c r="ED43" s="32">
        <v>1910</v>
      </c>
      <c r="EE43" s="32">
        <v>30052</v>
      </c>
      <c r="EF43" s="32"/>
      <c r="EG43" s="32"/>
      <c r="EH43" s="33"/>
      <c r="EI43" s="32">
        <v>31962</v>
      </c>
      <c r="EJ43" s="32">
        <v>332</v>
      </c>
      <c r="EK43" s="32">
        <v>3825</v>
      </c>
      <c r="EL43" s="32">
        <v>4157</v>
      </c>
      <c r="EM43" s="32">
        <v>3244</v>
      </c>
      <c r="EN43" s="32">
        <v>581</v>
      </c>
      <c r="EO43" s="32">
        <v>270</v>
      </c>
      <c r="EP43" s="33">
        <v>602.30999999999995</v>
      </c>
      <c r="EQ43" s="33">
        <v>34.119999999999997</v>
      </c>
      <c r="ER43" s="33">
        <v>118.91</v>
      </c>
      <c r="ES43" s="33">
        <v>41.12</v>
      </c>
      <c r="ET43" s="33">
        <v>532.79999999999995</v>
      </c>
      <c r="EU43" s="33">
        <v>1329.2599999999998</v>
      </c>
    </row>
    <row r="44" spans="1:151" ht="41.4" x14ac:dyDescent="0.3">
      <c r="A44" s="25">
        <v>68</v>
      </c>
      <c r="B44" s="26" t="s">
        <v>270</v>
      </c>
      <c r="C44" s="27" t="s">
        <v>42</v>
      </c>
      <c r="D44" s="27" t="s">
        <v>272</v>
      </c>
      <c r="E44" s="26" t="s">
        <v>504</v>
      </c>
      <c r="F44" s="26" t="s">
        <v>504</v>
      </c>
      <c r="G44" s="28">
        <v>120.40555555555555</v>
      </c>
      <c r="H44" s="28">
        <v>7.2333333333333334</v>
      </c>
      <c r="I44" s="29">
        <v>100</v>
      </c>
      <c r="J44" s="29">
        <v>594</v>
      </c>
      <c r="K44" s="29">
        <v>221</v>
      </c>
      <c r="L44" s="29">
        <v>108</v>
      </c>
      <c r="M44" s="29">
        <v>1023</v>
      </c>
      <c r="N44" s="29">
        <v>923</v>
      </c>
      <c r="O44" s="29">
        <v>915</v>
      </c>
      <c r="P44" s="29">
        <v>7</v>
      </c>
      <c r="Q44" s="27">
        <v>98.488888888888894</v>
      </c>
      <c r="R44" s="27">
        <v>100.84444444444445</v>
      </c>
      <c r="S44" s="27">
        <v>97.311111111111117</v>
      </c>
      <c r="T44" s="27">
        <v>101.72777777777777</v>
      </c>
      <c r="U44" s="27">
        <v>96.911111111111111</v>
      </c>
      <c r="V44" s="27">
        <v>88.527777777777771</v>
      </c>
      <c r="W44" s="27">
        <v>99.87777777777778</v>
      </c>
      <c r="X44" s="27">
        <v>112.67222222222222</v>
      </c>
      <c r="Y44" s="27">
        <v>105.02222222222223</v>
      </c>
      <c r="Z44" s="27">
        <v>103.75555555555556</v>
      </c>
      <c r="AA44" s="27">
        <v>0</v>
      </c>
      <c r="AB44" s="27">
        <v>0</v>
      </c>
      <c r="AC44" s="27">
        <v>0</v>
      </c>
      <c r="AD44" s="27">
        <v>585.19999999999993</v>
      </c>
      <c r="AE44" s="27">
        <v>217.69444444444446</v>
      </c>
      <c r="AF44" s="27">
        <v>103.75555555555556</v>
      </c>
      <c r="AG44" s="27">
        <v>901.38333333333333</v>
      </c>
      <c r="AH44" s="27">
        <v>906.65</v>
      </c>
      <c r="AI44" s="27">
        <v>1005.1388888888889</v>
      </c>
      <c r="AJ44" s="28">
        <v>131.34444444444443</v>
      </c>
      <c r="AK44" s="28">
        <v>11.122222222222222</v>
      </c>
      <c r="AL44" s="28">
        <v>142.46666666666667</v>
      </c>
      <c r="AM44" s="29">
        <v>98</v>
      </c>
      <c r="AN44" s="35">
        <v>101</v>
      </c>
      <c r="AO44" s="27">
        <v>95</v>
      </c>
      <c r="AP44" s="27">
        <v>98</v>
      </c>
      <c r="AQ44" s="27">
        <v>106</v>
      </c>
      <c r="AR44" s="27">
        <v>111</v>
      </c>
      <c r="AS44" s="27">
        <v>93</v>
      </c>
      <c r="AT44" s="27">
        <v>108</v>
      </c>
      <c r="AU44" s="27">
        <v>106</v>
      </c>
      <c r="AV44" s="27">
        <v>99</v>
      </c>
      <c r="AW44" s="27">
        <v>0</v>
      </c>
      <c r="AX44" s="27">
        <v>0</v>
      </c>
      <c r="AY44" s="27">
        <v>0</v>
      </c>
      <c r="AZ44" s="27">
        <v>604</v>
      </c>
      <c r="BA44" s="27">
        <v>214</v>
      </c>
      <c r="BB44" s="27">
        <v>99</v>
      </c>
      <c r="BC44" s="27">
        <v>916</v>
      </c>
      <c r="BD44" s="27">
        <v>917</v>
      </c>
      <c r="BE44" s="27">
        <v>1015</v>
      </c>
      <c r="BF44" s="27">
        <v>98</v>
      </c>
      <c r="BG44" s="27">
        <v>0</v>
      </c>
      <c r="BH44" s="27">
        <v>0</v>
      </c>
      <c r="BI44" s="27">
        <v>705</v>
      </c>
      <c r="BJ44" s="27">
        <v>161</v>
      </c>
      <c r="BK44" s="29">
        <v>19</v>
      </c>
      <c r="BL44" s="29">
        <v>180</v>
      </c>
      <c r="BM44" s="29">
        <v>280</v>
      </c>
      <c r="BN44" s="30">
        <v>7.2108160997694848E-2</v>
      </c>
      <c r="BO44" s="31">
        <v>75.372</v>
      </c>
      <c r="BP44" s="31">
        <v>71.372</v>
      </c>
      <c r="BQ44" s="31">
        <v>68.471999999999994</v>
      </c>
      <c r="BR44" s="31">
        <v>76.372</v>
      </c>
      <c r="BS44" s="32">
        <v>0</v>
      </c>
      <c r="BT44" s="32">
        <v>0</v>
      </c>
      <c r="BU44" s="33">
        <v>0</v>
      </c>
      <c r="BV44" s="33">
        <v>0</v>
      </c>
      <c r="BW44" s="33">
        <v>95.561110999999997</v>
      </c>
      <c r="BX44" s="33">
        <v>95.561111111111117</v>
      </c>
      <c r="BY44" s="33">
        <v>97.716666666666669</v>
      </c>
      <c r="BZ44" s="33">
        <v>93.561111111111117</v>
      </c>
      <c r="CA44" s="33">
        <v>94.177777777777777</v>
      </c>
      <c r="CB44" s="33">
        <v>101.17777777777778</v>
      </c>
      <c r="CC44" s="33">
        <v>105.6</v>
      </c>
      <c r="CD44" s="33">
        <v>85.055555555555557</v>
      </c>
      <c r="CE44" s="33">
        <v>101.3</v>
      </c>
      <c r="CF44" s="33">
        <v>102.93333333333334</v>
      </c>
      <c r="CG44" s="33">
        <v>95.444444444444443</v>
      </c>
      <c r="CH44" s="33">
        <v>0</v>
      </c>
      <c r="CI44" s="33">
        <v>0</v>
      </c>
      <c r="CJ44" s="33">
        <v>0</v>
      </c>
      <c r="CK44" s="33">
        <v>577.28888888888889</v>
      </c>
      <c r="CL44" s="33">
        <v>204.23333333333335</v>
      </c>
      <c r="CM44" s="33">
        <v>95.444444444444443</v>
      </c>
      <c r="CN44" s="33">
        <v>877.08333333333326</v>
      </c>
      <c r="CO44" s="33">
        <v>876.96666666666658</v>
      </c>
      <c r="CP44" s="33">
        <v>972.52777777777771</v>
      </c>
      <c r="CQ44" s="33">
        <v>160.94999999999999</v>
      </c>
      <c r="CR44" s="33">
        <v>22.994444444444401</v>
      </c>
      <c r="CS44" s="33">
        <v>183.9444444444444</v>
      </c>
      <c r="CT44" s="33">
        <v>0</v>
      </c>
      <c r="CU44" s="33">
        <v>102</v>
      </c>
      <c r="CV44" s="32">
        <v>0</v>
      </c>
      <c r="CW44" s="32">
        <v>102</v>
      </c>
      <c r="CX44" s="32">
        <v>97</v>
      </c>
      <c r="CY44" s="32">
        <v>101</v>
      </c>
      <c r="CZ44" s="32">
        <v>91</v>
      </c>
      <c r="DA44" s="32">
        <v>90</v>
      </c>
      <c r="DB44" s="32">
        <v>103</v>
      </c>
      <c r="DC44" s="32">
        <v>112</v>
      </c>
      <c r="DD44" s="32">
        <v>87</v>
      </c>
      <c r="DE44" s="32">
        <v>100</v>
      </c>
      <c r="DF44" s="32">
        <v>104</v>
      </c>
      <c r="DG44" s="32">
        <v>0</v>
      </c>
      <c r="DH44" s="32">
        <v>0</v>
      </c>
      <c r="DI44" s="32">
        <v>0</v>
      </c>
      <c r="DJ44" s="32">
        <v>594</v>
      </c>
      <c r="DK44" s="32">
        <v>187</v>
      </c>
      <c r="DL44" s="32">
        <v>104</v>
      </c>
      <c r="DM44" s="32">
        <v>883</v>
      </c>
      <c r="DN44" s="32">
        <v>885</v>
      </c>
      <c r="DO44" s="32">
        <v>987</v>
      </c>
      <c r="DP44" s="32">
        <v>0</v>
      </c>
      <c r="DQ44" s="32">
        <v>649</v>
      </c>
      <c r="DR44" s="32">
        <v>144</v>
      </c>
      <c r="DS44" s="32">
        <v>26</v>
      </c>
      <c r="DT44" s="32">
        <v>170</v>
      </c>
      <c r="DU44" s="32">
        <v>253</v>
      </c>
      <c r="DV44" s="33">
        <v>75.138999999999996</v>
      </c>
      <c r="DW44" s="33">
        <v>70.138999999999996</v>
      </c>
      <c r="DX44" s="33">
        <v>33.75</v>
      </c>
      <c r="DY44" s="33">
        <v>21.42</v>
      </c>
      <c r="DZ44" s="33">
        <v>0</v>
      </c>
      <c r="EA44" s="33">
        <v>77.688999999999979</v>
      </c>
      <c r="EB44" s="34">
        <v>6.510154066801721E-2</v>
      </c>
      <c r="EC44" s="32"/>
      <c r="ED44" s="32">
        <v>97</v>
      </c>
      <c r="EE44" s="32">
        <v>904</v>
      </c>
      <c r="EF44" s="32">
        <v>586</v>
      </c>
      <c r="EG44" s="32">
        <v>212</v>
      </c>
      <c r="EH44" s="32">
        <v>106</v>
      </c>
      <c r="EI44" s="32">
        <v>1001</v>
      </c>
      <c r="EJ44" s="32">
        <v>0</v>
      </c>
      <c r="EK44" s="32">
        <v>175</v>
      </c>
      <c r="EL44" s="32">
        <v>175</v>
      </c>
      <c r="EM44" s="32">
        <v>153</v>
      </c>
      <c r="EN44" s="32">
        <v>22</v>
      </c>
      <c r="EO44" s="32">
        <v>25</v>
      </c>
      <c r="EP44" s="33">
        <v>29.469000000000001</v>
      </c>
      <c r="EQ44" s="33">
        <v>3</v>
      </c>
      <c r="ER44" s="33">
        <v>10</v>
      </c>
      <c r="ES44" s="33">
        <v>0.33700000000000002</v>
      </c>
      <c r="ET44" s="33">
        <v>15.621</v>
      </c>
      <c r="EU44" s="33">
        <v>58.427000000000007</v>
      </c>
    </row>
    <row r="45" spans="1:151" ht="41.4" x14ac:dyDescent="0.3">
      <c r="A45" s="25">
        <v>70</v>
      </c>
      <c r="B45" s="26">
        <v>700</v>
      </c>
      <c r="C45" s="27" t="s">
        <v>688</v>
      </c>
      <c r="D45" s="27" t="s">
        <v>453</v>
      </c>
      <c r="E45" s="26" t="s">
        <v>504</v>
      </c>
      <c r="F45" s="26" t="s">
        <v>504</v>
      </c>
      <c r="G45" s="28">
        <v>0</v>
      </c>
      <c r="H45" s="28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8">
        <v>0</v>
      </c>
      <c r="AK45" s="28">
        <v>0</v>
      </c>
      <c r="AL45" s="28">
        <v>0</v>
      </c>
      <c r="AM45" s="29">
        <v>0</v>
      </c>
      <c r="AN45" s="35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9">
        <v>0</v>
      </c>
      <c r="BL45" s="29">
        <v>0</v>
      </c>
      <c r="BM45" s="29">
        <v>0</v>
      </c>
      <c r="BN45" s="30">
        <v>0</v>
      </c>
      <c r="BO45" s="31">
        <v>0</v>
      </c>
      <c r="BP45" s="31">
        <v>0</v>
      </c>
      <c r="BQ45" s="31">
        <v>0</v>
      </c>
      <c r="BR45" s="31">
        <v>0</v>
      </c>
      <c r="BS45" s="32">
        <v>0</v>
      </c>
      <c r="BT45" s="32">
        <v>0</v>
      </c>
      <c r="BU45" s="33">
        <v>0</v>
      </c>
      <c r="BV45" s="33">
        <v>0</v>
      </c>
      <c r="BW45" s="33">
        <v>0</v>
      </c>
      <c r="BX45" s="33">
        <v>0</v>
      </c>
      <c r="BY45" s="33">
        <v>0</v>
      </c>
      <c r="BZ45" s="33">
        <v>0</v>
      </c>
      <c r="CA45" s="33">
        <v>0</v>
      </c>
      <c r="CB45" s="33">
        <v>0</v>
      </c>
      <c r="CC45" s="33">
        <v>0</v>
      </c>
      <c r="CD45" s="33">
        <v>0</v>
      </c>
      <c r="CE45" s="33">
        <v>0</v>
      </c>
      <c r="CF45" s="33">
        <v>0</v>
      </c>
      <c r="CG45" s="33">
        <v>0</v>
      </c>
      <c r="CH45" s="33">
        <v>0</v>
      </c>
      <c r="CI45" s="33">
        <v>0</v>
      </c>
      <c r="CJ45" s="33">
        <v>0</v>
      </c>
      <c r="CK45" s="33">
        <v>0</v>
      </c>
      <c r="CL45" s="33">
        <v>0</v>
      </c>
      <c r="CM45" s="33">
        <v>0</v>
      </c>
      <c r="CN45" s="33">
        <v>0</v>
      </c>
      <c r="CO45" s="33">
        <v>0</v>
      </c>
      <c r="CP45" s="33">
        <v>0</v>
      </c>
      <c r="CQ45" s="33">
        <v>0</v>
      </c>
      <c r="CR45" s="33">
        <v>0</v>
      </c>
      <c r="CS45" s="33">
        <v>0</v>
      </c>
      <c r="CT45" s="33">
        <v>0</v>
      </c>
      <c r="CU45" s="33">
        <v>0</v>
      </c>
      <c r="CV45" s="32">
        <v>0</v>
      </c>
      <c r="CW45" s="32">
        <v>0</v>
      </c>
      <c r="CX45" s="32">
        <v>0</v>
      </c>
      <c r="CY45" s="32">
        <v>0</v>
      </c>
      <c r="CZ45" s="32">
        <v>0</v>
      </c>
      <c r="DA45" s="32">
        <v>0</v>
      </c>
      <c r="DB45" s="32">
        <v>0</v>
      </c>
      <c r="DC45" s="32">
        <v>0</v>
      </c>
      <c r="DD45" s="32">
        <v>0</v>
      </c>
      <c r="DE45" s="32">
        <v>0</v>
      </c>
      <c r="DF45" s="32">
        <v>0</v>
      </c>
      <c r="DG45" s="32">
        <v>0</v>
      </c>
      <c r="DH45" s="32">
        <v>0</v>
      </c>
      <c r="DI45" s="32">
        <v>0</v>
      </c>
      <c r="DJ45" s="32">
        <v>0</v>
      </c>
      <c r="DK45" s="32">
        <v>0</v>
      </c>
      <c r="DL45" s="32">
        <v>0</v>
      </c>
      <c r="DM45" s="32">
        <v>0</v>
      </c>
      <c r="DN45" s="32">
        <v>0</v>
      </c>
      <c r="DO45" s="32">
        <v>0</v>
      </c>
      <c r="DP45" s="32">
        <v>0</v>
      </c>
      <c r="DQ45" s="32">
        <v>0</v>
      </c>
      <c r="DR45" s="32">
        <v>0</v>
      </c>
      <c r="DS45" s="32">
        <v>0</v>
      </c>
      <c r="DT45" s="32">
        <v>0</v>
      </c>
      <c r="DU45" s="32">
        <v>0</v>
      </c>
      <c r="DV45" s="33">
        <v>3</v>
      </c>
      <c r="DW45" s="33">
        <v>3</v>
      </c>
      <c r="DX45" s="33">
        <v>0</v>
      </c>
      <c r="DY45" s="33">
        <v>0</v>
      </c>
      <c r="DZ45" s="33">
        <v>0</v>
      </c>
      <c r="EA45" s="33">
        <v>0</v>
      </c>
      <c r="EB45" s="34">
        <v>0</v>
      </c>
      <c r="EC45" s="32"/>
      <c r="ED45" s="32">
        <v>0</v>
      </c>
      <c r="EE45" s="32">
        <v>0</v>
      </c>
      <c r="EF45" s="32">
        <v>0</v>
      </c>
      <c r="EG45" s="32">
        <v>0</v>
      </c>
      <c r="EH45" s="32">
        <v>0</v>
      </c>
      <c r="EI45" s="32">
        <v>0</v>
      </c>
      <c r="EJ45" s="32">
        <v>0</v>
      </c>
      <c r="EK45" s="32">
        <v>0</v>
      </c>
      <c r="EL45" s="32">
        <v>0</v>
      </c>
      <c r="EM45" s="32">
        <v>0</v>
      </c>
      <c r="EN45" s="32">
        <v>0</v>
      </c>
      <c r="EO45" s="32">
        <v>0</v>
      </c>
      <c r="EP45" s="33">
        <v>0</v>
      </c>
      <c r="EQ45" s="33">
        <v>0</v>
      </c>
      <c r="ER45" s="33">
        <v>0</v>
      </c>
      <c r="ES45" s="33">
        <v>0</v>
      </c>
      <c r="ET45" s="33">
        <v>0</v>
      </c>
      <c r="EU45" s="33">
        <v>0</v>
      </c>
    </row>
    <row r="46" spans="1:151" ht="55.2" x14ac:dyDescent="0.3">
      <c r="A46" s="25">
        <v>71</v>
      </c>
      <c r="B46" s="26">
        <v>710</v>
      </c>
      <c r="C46" s="27" t="s">
        <v>689</v>
      </c>
      <c r="D46" s="27" t="s">
        <v>453</v>
      </c>
      <c r="E46" s="26" t="s">
        <v>504</v>
      </c>
      <c r="F46" s="26" t="s">
        <v>504</v>
      </c>
      <c r="G46" s="28">
        <v>0</v>
      </c>
      <c r="H46" s="28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8">
        <v>0</v>
      </c>
      <c r="AK46" s="28">
        <v>0</v>
      </c>
      <c r="AL46" s="28">
        <v>0</v>
      </c>
      <c r="AM46" s="29">
        <v>0</v>
      </c>
      <c r="AN46" s="35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9">
        <v>0</v>
      </c>
      <c r="BL46" s="29">
        <v>0</v>
      </c>
      <c r="BM46" s="29">
        <v>0</v>
      </c>
      <c r="BN46" s="30">
        <v>0</v>
      </c>
      <c r="BO46" s="31">
        <v>0</v>
      </c>
      <c r="BP46" s="31">
        <v>0</v>
      </c>
      <c r="BQ46" s="31">
        <v>0</v>
      </c>
      <c r="BR46" s="31">
        <v>0</v>
      </c>
      <c r="BS46" s="32">
        <v>0</v>
      </c>
      <c r="BT46" s="32">
        <v>0</v>
      </c>
      <c r="BU46" s="33">
        <v>0</v>
      </c>
      <c r="BV46" s="33">
        <v>0</v>
      </c>
      <c r="BW46" s="33">
        <v>0</v>
      </c>
      <c r="BX46" s="33">
        <v>0</v>
      </c>
      <c r="BY46" s="33">
        <v>0</v>
      </c>
      <c r="BZ46" s="33">
        <v>0</v>
      </c>
      <c r="CA46" s="33">
        <v>0</v>
      </c>
      <c r="CB46" s="33">
        <v>0</v>
      </c>
      <c r="CC46" s="33">
        <v>0</v>
      </c>
      <c r="CD46" s="33">
        <v>0</v>
      </c>
      <c r="CE46" s="33">
        <v>0</v>
      </c>
      <c r="CF46" s="33">
        <v>0</v>
      </c>
      <c r="CG46" s="33">
        <v>0</v>
      </c>
      <c r="CH46" s="33">
        <v>0</v>
      </c>
      <c r="CI46" s="33">
        <v>0</v>
      </c>
      <c r="CJ46" s="33">
        <v>0</v>
      </c>
      <c r="CK46" s="33">
        <v>0</v>
      </c>
      <c r="CL46" s="33">
        <v>0</v>
      </c>
      <c r="CM46" s="33">
        <v>0</v>
      </c>
      <c r="CN46" s="33">
        <v>0</v>
      </c>
      <c r="CO46" s="33">
        <v>0</v>
      </c>
      <c r="CP46" s="33">
        <v>0</v>
      </c>
      <c r="CQ46" s="33">
        <v>0</v>
      </c>
      <c r="CR46" s="33">
        <v>0</v>
      </c>
      <c r="CS46" s="33">
        <v>0</v>
      </c>
      <c r="CT46" s="33">
        <v>0</v>
      </c>
      <c r="CU46" s="33">
        <v>0</v>
      </c>
      <c r="CV46" s="32">
        <v>0</v>
      </c>
      <c r="CW46" s="32">
        <v>0</v>
      </c>
      <c r="CX46" s="32">
        <v>0</v>
      </c>
      <c r="CY46" s="32">
        <v>0</v>
      </c>
      <c r="CZ46" s="32">
        <v>0</v>
      </c>
      <c r="DA46" s="32">
        <v>0</v>
      </c>
      <c r="DB46" s="32">
        <v>0</v>
      </c>
      <c r="DC46" s="32">
        <v>0</v>
      </c>
      <c r="DD46" s="32">
        <v>0</v>
      </c>
      <c r="DE46" s="32">
        <v>0</v>
      </c>
      <c r="DF46" s="32">
        <v>0</v>
      </c>
      <c r="DG46" s="32">
        <v>0</v>
      </c>
      <c r="DH46" s="32">
        <v>0</v>
      </c>
      <c r="DI46" s="32">
        <v>0</v>
      </c>
      <c r="DJ46" s="32">
        <v>0</v>
      </c>
      <c r="DK46" s="32">
        <v>0</v>
      </c>
      <c r="DL46" s="32">
        <v>0</v>
      </c>
      <c r="DM46" s="32">
        <v>0</v>
      </c>
      <c r="DN46" s="32">
        <v>0</v>
      </c>
      <c r="DO46" s="32">
        <v>0</v>
      </c>
      <c r="DP46" s="32">
        <v>0</v>
      </c>
      <c r="DQ46" s="32">
        <v>0</v>
      </c>
      <c r="DR46" s="32">
        <v>0</v>
      </c>
      <c r="DS46" s="32">
        <v>0</v>
      </c>
      <c r="DT46" s="32">
        <v>0</v>
      </c>
      <c r="DU46" s="32">
        <v>0</v>
      </c>
      <c r="DV46" s="33">
        <v>6</v>
      </c>
      <c r="DW46" s="33">
        <v>6</v>
      </c>
      <c r="DX46" s="33">
        <v>0</v>
      </c>
      <c r="DY46" s="33">
        <v>0</v>
      </c>
      <c r="DZ46" s="33">
        <v>0</v>
      </c>
      <c r="EA46" s="33">
        <v>0</v>
      </c>
      <c r="EB46" s="34">
        <v>0</v>
      </c>
      <c r="EC46" s="32"/>
      <c r="ED46" s="32">
        <v>0</v>
      </c>
      <c r="EE46" s="32">
        <v>0</v>
      </c>
      <c r="EF46" s="32">
        <v>0</v>
      </c>
      <c r="EG46" s="32">
        <v>0</v>
      </c>
      <c r="EH46" s="32">
        <v>0</v>
      </c>
      <c r="EI46" s="32">
        <v>0</v>
      </c>
      <c r="EJ46" s="32">
        <v>0</v>
      </c>
      <c r="EK46" s="32">
        <v>0</v>
      </c>
      <c r="EL46" s="32">
        <v>0</v>
      </c>
      <c r="EM46" s="32">
        <v>0</v>
      </c>
      <c r="EN46" s="32">
        <v>0</v>
      </c>
      <c r="EO46" s="32">
        <v>0</v>
      </c>
      <c r="EP46" s="33">
        <v>0</v>
      </c>
      <c r="EQ46" s="33">
        <v>0</v>
      </c>
      <c r="ER46" s="33">
        <v>0</v>
      </c>
      <c r="ES46" s="33">
        <v>0</v>
      </c>
      <c r="ET46" s="33">
        <v>0</v>
      </c>
      <c r="EU46" s="33">
        <v>0</v>
      </c>
    </row>
    <row r="47" spans="1:151" ht="55.2" x14ac:dyDescent="0.3">
      <c r="A47" s="25">
        <v>72</v>
      </c>
      <c r="B47" s="26">
        <v>720</v>
      </c>
      <c r="C47" s="27" t="s">
        <v>690</v>
      </c>
      <c r="D47" s="27" t="s">
        <v>453</v>
      </c>
      <c r="E47" s="26" t="s">
        <v>504</v>
      </c>
      <c r="F47" s="26" t="s">
        <v>504</v>
      </c>
      <c r="G47" s="28">
        <v>0</v>
      </c>
      <c r="H47" s="28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8">
        <v>0</v>
      </c>
      <c r="AK47" s="28">
        <v>0</v>
      </c>
      <c r="AL47" s="28">
        <v>0</v>
      </c>
      <c r="AM47" s="29">
        <v>0</v>
      </c>
      <c r="AN47" s="35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9">
        <v>0</v>
      </c>
      <c r="BL47" s="29">
        <v>0</v>
      </c>
      <c r="BM47" s="29">
        <v>0</v>
      </c>
      <c r="BN47" s="30">
        <v>0</v>
      </c>
      <c r="BO47" s="31">
        <v>0</v>
      </c>
      <c r="BP47" s="31">
        <v>0</v>
      </c>
      <c r="BQ47" s="31">
        <v>0</v>
      </c>
      <c r="BR47" s="31">
        <v>0</v>
      </c>
      <c r="BS47" s="32">
        <v>0</v>
      </c>
      <c r="BT47" s="32">
        <v>0</v>
      </c>
      <c r="BU47" s="33">
        <v>0</v>
      </c>
      <c r="BV47" s="33">
        <v>0</v>
      </c>
      <c r="BW47" s="33">
        <v>0</v>
      </c>
      <c r="BX47" s="33">
        <v>0</v>
      </c>
      <c r="BY47" s="33">
        <v>0</v>
      </c>
      <c r="BZ47" s="33">
        <v>0</v>
      </c>
      <c r="CA47" s="33">
        <v>0</v>
      </c>
      <c r="CB47" s="33">
        <v>0</v>
      </c>
      <c r="CC47" s="33">
        <v>0</v>
      </c>
      <c r="CD47" s="33">
        <v>0</v>
      </c>
      <c r="CE47" s="33">
        <v>0</v>
      </c>
      <c r="CF47" s="33">
        <v>0</v>
      </c>
      <c r="CG47" s="33">
        <v>0</v>
      </c>
      <c r="CH47" s="33">
        <v>0</v>
      </c>
      <c r="CI47" s="33">
        <v>0</v>
      </c>
      <c r="CJ47" s="33">
        <v>0</v>
      </c>
      <c r="CK47" s="33">
        <v>0</v>
      </c>
      <c r="CL47" s="33">
        <v>0</v>
      </c>
      <c r="CM47" s="33">
        <v>0</v>
      </c>
      <c r="CN47" s="33">
        <v>0</v>
      </c>
      <c r="CO47" s="33">
        <v>0</v>
      </c>
      <c r="CP47" s="33">
        <v>0</v>
      </c>
      <c r="CQ47" s="33">
        <v>0</v>
      </c>
      <c r="CR47" s="33">
        <v>0</v>
      </c>
      <c r="CS47" s="33">
        <v>0</v>
      </c>
      <c r="CT47" s="33">
        <v>0</v>
      </c>
      <c r="CU47" s="33">
        <v>0</v>
      </c>
      <c r="CV47" s="32">
        <v>0</v>
      </c>
      <c r="CW47" s="32">
        <v>0</v>
      </c>
      <c r="CX47" s="32">
        <v>0</v>
      </c>
      <c r="CY47" s="32">
        <v>0</v>
      </c>
      <c r="CZ47" s="32">
        <v>0</v>
      </c>
      <c r="DA47" s="32">
        <v>0</v>
      </c>
      <c r="DB47" s="32">
        <v>0</v>
      </c>
      <c r="DC47" s="32">
        <v>0</v>
      </c>
      <c r="DD47" s="32">
        <v>0</v>
      </c>
      <c r="DE47" s="32">
        <v>0</v>
      </c>
      <c r="DF47" s="32">
        <v>0</v>
      </c>
      <c r="DG47" s="32">
        <v>0</v>
      </c>
      <c r="DH47" s="32">
        <v>0</v>
      </c>
      <c r="DI47" s="32">
        <v>0</v>
      </c>
      <c r="DJ47" s="32">
        <v>0</v>
      </c>
      <c r="DK47" s="32">
        <v>0</v>
      </c>
      <c r="DL47" s="32">
        <v>0</v>
      </c>
      <c r="DM47" s="32">
        <v>0</v>
      </c>
      <c r="DN47" s="32">
        <v>0</v>
      </c>
      <c r="DO47" s="32">
        <v>0</v>
      </c>
      <c r="DP47" s="32">
        <v>0</v>
      </c>
      <c r="DQ47" s="32">
        <v>0</v>
      </c>
      <c r="DR47" s="32">
        <v>0</v>
      </c>
      <c r="DS47" s="32">
        <v>0</v>
      </c>
      <c r="DT47" s="32">
        <v>0</v>
      </c>
      <c r="DU47" s="32">
        <v>0</v>
      </c>
      <c r="DV47" s="33">
        <v>3</v>
      </c>
      <c r="DW47" s="33">
        <v>3</v>
      </c>
      <c r="DX47" s="33">
        <v>0</v>
      </c>
      <c r="DY47" s="33">
        <v>0</v>
      </c>
      <c r="DZ47" s="33">
        <v>0</v>
      </c>
      <c r="EA47" s="33">
        <v>0</v>
      </c>
      <c r="EB47" s="34">
        <v>0</v>
      </c>
      <c r="EC47" s="32"/>
      <c r="ED47" s="32">
        <v>0</v>
      </c>
      <c r="EE47" s="32">
        <v>0</v>
      </c>
      <c r="EF47" s="32">
        <v>0</v>
      </c>
      <c r="EG47" s="32">
        <v>0</v>
      </c>
      <c r="EH47" s="32">
        <v>0</v>
      </c>
      <c r="EI47" s="32">
        <v>0</v>
      </c>
      <c r="EJ47" s="32">
        <v>0</v>
      </c>
      <c r="EK47" s="32">
        <v>0</v>
      </c>
      <c r="EL47" s="32">
        <v>0</v>
      </c>
      <c r="EM47" s="32">
        <v>0</v>
      </c>
      <c r="EN47" s="32">
        <v>0</v>
      </c>
      <c r="EO47" s="32">
        <v>0</v>
      </c>
      <c r="EP47" s="33">
        <v>0</v>
      </c>
      <c r="EQ47" s="33">
        <v>0</v>
      </c>
      <c r="ER47" s="33">
        <v>0</v>
      </c>
      <c r="ES47" s="33">
        <v>0</v>
      </c>
      <c r="ET47" s="33">
        <v>0</v>
      </c>
      <c r="EU47" s="33">
        <v>0</v>
      </c>
    </row>
    <row r="48" spans="1:151" ht="55.2" x14ac:dyDescent="0.3">
      <c r="A48" s="25">
        <v>73</v>
      </c>
      <c r="B48" s="26">
        <v>730</v>
      </c>
      <c r="C48" s="27" t="s">
        <v>691</v>
      </c>
      <c r="D48" s="27" t="s">
        <v>453</v>
      </c>
      <c r="E48" s="26" t="s">
        <v>504</v>
      </c>
      <c r="F48" s="26" t="s">
        <v>504</v>
      </c>
      <c r="G48" s="28">
        <v>0</v>
      </c>
      <c r="H48" s="28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8">
        <v>0</v>
      </c>
      <c r="AK48" s="28">
        <v>0</v>
      </c>
      <c r="AL48" s="28">
        <v>0</v>
      </c>
      <c r="AM48" s="29">
        <v>0</v>
      </c>
      <c r="AN48" s="35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0</v>
      </c>
      <c r="AX48" s="27">
        <v>0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0</v>
      </c>
      <c r="BH48" s="27">
        <v>0</v>
      </c>
      <c r="BI48" s="27">
        <v>0</v>
      </c>
      <c r="BJ48" s="27">
        <v>0</v>
      </c>
      <c r="BK48" s="29">
        <v>0</v>
      </c>
      <c r="BL48" s="29">
        <v>0</v>
      </c>
      <c r="BM48" s="29">
        <v>0</v>
      </c>
      <c r="BN48" s="30">
        <v>0</v>
      </c>
      <c r="BO48" s="31">
        <v>0</v>
      </c>
      <c r="BP48" s="31">
        <v>0</v>
      </c>
      <c r="BQ48" s="31">
        <v>0</v>
      </c>
      <c r="BR48" s="31">
        <v>0</v>
      </c>
      <c r="BS48" s="32">
        <v>0</v>
      </c>
      <c r="BT48" s="32">
        <v>0</v>
      </c>
      <c r="BU48" s="33">
        <v>0</v>
      </c>
      <c r="BV48" s="33">
        <v>0</v>
      </c>
      <c r="BW48" s="33">
        <v>0</v>
      </c>
      <c r="BX48" s="33">
        <v>0</v>
      </c>
      <c r="BY48" s="33">
        <v>0</v>
      </c>
      <c r="BZ48" s="33">
        <v>0</v>
      </c>
      <c r="CA48" s="33">
        <v>0</v>
      </c>
      <c r="CB48" s="33">
        <v>0</v>
      </c>
      <c r="CC48" s="33">
        <v>0</v>
      </c>
      <c r="CD48" s="33">
        <v>0</v>
      </c>
      <c r="CE48" s="33">
        <v>0</v>
      </c>
      <c r="CF48" s="33">
        <v>0</v>
      </c>
      <c r="CG48" s="33">
        <v>0</v>
      </c>
      <c r="CH48" s="33">
        <v>0</v>
      </c>
      <c r="CI48" s="33">
        <v>0</v>
      </c>
      <c r="CJ48" s="33">
        <v>0</v>
      </c>
      <c r="CK48" s="33">
        <v>0</v>
      </c>
      <c r="CL48" s="33">
        <v>0</v>
      </c>
      <c r="CM48" s="33">
        <v>0</v>
      </c>
      <c r="CN48" s="33">
        <v>0</v>
      </c>
      <c r="CO48" s="33">
        <v>0</v>
      </c>
      <c r="CP48" s="33">
        <v>0</v>
      </c>
      <c r="CQ48" s="33">
        <v>0</v>
      </c>
      <c r="CR48" s="33">
        <v>0</v>
      </c>
      <c r="CS48" s="33">
        <v>0</v>
      </c>
      <c r="CT48" s="33">
        <v>0</v>
      </c>
      <c r="CU48" s="33">
        <v>0</v>
      </c>
      <c r="CV48" s="32">
        <v>0</v>
      </c>
      <c r="CW48" s="32">
        <v>0</v>
      </c>
      <c r="CX48" s="32">
        <v>0</v>
      </c>
      <c r="CY48" s="32">
        <v>0</v>
      </c>
      <c r="CZ48" s="32">
        <v>0</v>
      </c>
      <c r="DA48" s="32">
        <v>0</v>
      </c>
      <c r="DB48" s="32">
        <v>0</v>
      </c>
      <c r="DC48" s="32">
        <v>0</v>
      </c>
      <c r="DD48" s="32">
        <v>0</v>
      </c>
      <c r="DE48" s="32">
        <v>0</v>
      </c>
      <c r="DF48" s="32">
        <v>0</v>
      </c>
      <c r="DG48" s="32">
        <v>0</v>
      </c>
      <c r="DH48" s="32">
        <v>0</v>
      </c>
      <c r="DI48" s="32">
        <v>0</v>
      </c>
      <c r="DJ48" s="32">
        <v>0</v>
      </c>
      <c r="DK48" s="32">
        <v>0</v>
      </c>
      <c r="DL48" s="32">
        <v>0</v>
      </c>
      <c r="DM48" s="32">
        <v>0</v>
      </c>
      <c r="DN48" s="32">
        <v>0</v>
      </c>
      <c r="DO48" s="32">
        <v>0</v>
      </c>
      <c r="DP48" s="32">
        <v>0</v>
      </c>
      <c r="DQ48" s="32">
        <v>0</v>
      </c>
      <c r="DR48" s="32">
        <v>0</v>
      </c>
      <c r="DS48" s="32">
        <v>0</v>
      </c>
      <c r="DT48" s="32">
        <v>0</v>
      </c>
      <c r="DU48" s="32">
        <v>0</v>
      </c>
      <c r="DV48" s="33">
        <v>2</v>
      </c>
      <c r="DW48" s="33">
        <v>2</v>
      </c>
      <c r="DX48" s="33">
        <v>0</v>
      </c>
      <c r="DY48" s="33">
        <v>0</v>
      </c>
      <c r="DZ48" s="33">
        <v>0</v>
      </c>
      <c r="EA48" s="33">
        <v>0</v>
      </c>
      <c r="EB48" s="34">
        <v>0</v>
      </c>
      <c r="EC48" s="32"/>
      <c r="ED48" s="32">
        <v>0</v>
      </c>
      <c r="EE48" s="32">
        <v>0</v>
      </c>
      <c r="EF48" s="32">
        <v>0</v>
      </c>
      <c r="EG48" s="32">
        <v>0</v>
      </c>
      <c r="EH48" s="32">
        <v>0</v>
      </c>
      <c r="EI48" s="32">
        <v>0</v>
      </c>
      <c r="EJ48" s="32">
        <v>0</v>
      </c>
      <c r="EK48" s="32">
        <v>0</v>
      </c>
      <c r="EL48" s="32">
        <v>0</v>
      </c>
      <c r="EM48" s="32">
        <v>0</v>
      </c>
      <c r="EN48" s="32">
        <v>0</v>
      </c>
      <c r="EO48" s="32">
        <v>0</v>
      </c>
      <c r="EP48" s="33">
        <v>0</v>
      </c>
      <c r="EQ48" s="33">
        <v>0</v>
      </c>
      <c r="ER48" s="33">
        <v>0</v>
      </c>
      <c r="ES48" s="33">
        <v>0</v>
      </c>
      <c r="ET48" s="33">
        <v>0</v>
      </c>
      <c r="EU48" s="33">
        <v>0</v>
      </c>
    </row>
    <row r="49" spans="1:151" ht="69" x14ac:dyDescent="0.3">
      <c r="A49" s="25">
        <v>74</v>
      </c>
      <c r="B49" s="26" t="s">
        <v>273</v>
      </c>
      <c r="C49" s="27" t="s">
        <v>692</v>
      </c>
      <c r="D49" s="27" t="s">
        <v>272</v>
      </c>
      <c r="E49" s="26" t="s">
        <v>504</v>
      </c>
      <c r="F49" s="26" t="s">
        <v>504</v>
      </c>
      <c r="G49" s="28">
        <v>379.41666666666669</v>
      </c>
      <c r="H49" s="28">
        <v>35.416666666666664</v>
      </c>
      <c r="I49" s="29">
        <v>441</v>
      </c>
      <c r="J49" s="29">
        <v>3026</v>
      </c>
      <c r="K49" s="29">
        <v>927</v>
      </c>
      <c r="L49" s="29">
        <v>802</v>
      </c>
      <c r="M49" s="29">
        <v>5196</v>
      </c>
      <c r="N49" s="29">
        <v>4755</v>
      </c>
      <c r="O49" s="29">
        <v>4394</v>
      </c>
      <c r="P49" s="29">
        <v>42</v>
      </c>
      <c r="Q49" s="27">
        <v>433.52222222222224</v>
      </c>
      <c r="R49" s="27">
        <v>452.51666666666665</v>
      </c>
      <c r="S49" s="27">
        <v>512.11666666666667</v>
      </c>
      <c r="T49" s="27">
        <v>498.98888888888888</v>
      </c>
      <c r="U49" s="27">
        <v>527.58888888888885</v>
      </c>
      <c r="V49" s="27">
        <v>494.28333333333336</v>
      </c>
      <c r="W49" s="27">
        <v>504.79444444444442</v>
      </c>
      <c r="X49" s="27">
        <v>480.34444444444443</v>
      </c>
      <c r="Y49" s="27">
        <v>419.51111111111112</v>
      </c>
      <c r="Z49" s="27">
        <v>285.5</v>
      </c>
      <c r="AA49" s="27">
        <v>210.38888888888889</v>
      </c>
      <c r="AB49" s="27">
        <v>147.09444444444443</v>
      </c>
      <c r="AC49" s="27">
        <v>132.94999999999999</v>
      </c>
      <c r="AD49" s="27">
        <v>2990.2888888888888</v>
      </c>
      <c r="AE49" s="27">
        <v>899.85555555555561</v>
      </c>
      <c r="AF49" s="27">
        <v>775.93333333333339</v>
      </c>
      <c r="AG49" s="27">
        <v>4323.6666666666661</v>
      </c>
      <c r="AH49" s="27">
        <v>4666.0777777777776</v>
      </c>
      <c r="AI49" s="27">
        <v>5099.5999999999995</v>
      </c>
      <c r="AJ49" s="28">
        <v>448.85555555555555</v>
      </c>
      <c r="AK49" s="28">
        <v>34.6</v>
      </c>
      <c r="AL49" s="28">
        <v>483.45555555555558</v>
      </c>
      <c r="AM49" s="29">
        <v>443</v>
      </c>
      <c r="AN49" s="35">
        <v>478</v>
      </c>
      <c r="AO49" s="27">
        <v>444</v>
      </c>
      <c r="AP49" s="27">
        <v>515</v>
      </c>
      <c r="AQ49" s="27">
        <v>494</v>
      </c>
      <c r="AR49" s="27">
        <v>511</v>
      </c>
      <c r="AS49" s="27">
        <v>463</v>
      </c>
      <c r="AT49" s="27">
        <v>462</v>
      </c>
      <c r="AU49" s="27">
        <v>426</v>
      </c>
      <c r="AV49" s="27">
        <v>301</v>
      </c>
      <c r="AW49" s="27">
        <v>208</v>
      </c>
      <c r="AX49" s="27">
        <v>165</v>
      </c>
      <c r="AY49" s="27">
        <v>137</v>
      </c>
      <c r="AZ49" s="27">
        <v>2905</v>
      </c>
      <c r="BA49" s="27">
        <v>888</v>
      </c>
      <c r="BB49" s="27">
        <v>811</v>
      </c>
      <c r="BC49" s="27">
        <v>4236</v>
      </c>
      <c r="BD49" s="27">
        <v>4604</v>
      </c>
      <c r="BE49" s="27">
        <v>5047</v>
      </c>
      <c r="BF49" s="27">
        <v>373</v>
      </c>
      <c r="BG49" s="27">
        <v>70</v>
      </c>
      <c r="BH49" s="27">
        <v>0</v>
      </c>
      <c r="BI49" s="27">
        <v>1726</v>
      </c>
      <c r="BJ49" s="27">
        <v>410</v>
      </c>
      <c r="BK49" s="29">
        <v>24</v>
      </c>
      <c r="BL49" s="29">
        <v>434</v>
      </c>
      <c r="BM49" s="29">
        <v>1502</v>
      </c>
      <c r="BN49" s="30">
        <v>6.0231977449810847E-2</v>
      </c>
      <c r="BO49" s="31">
        <v>274.42599999999999</v>
      </c>
      <c r="BP49" s="31">
        <v>261.815</v>
      </c>
      <c r="BQ49" s="31">
        <v>251.065</v>
      </c>
      <c r="BR49" s="31">
        <v>283.42600000000004</v>
      </c>
      <c r="BS49" s="32">
        <v>0</v>
      </c>
      <c r="BT49" s="32">
        <v>0</v>
      </c>
      <c r="BU49" s="33">
        <v>0</v>
      </c>
      <c r="BV49" s="33">
        <v>64.716666000000004</v>
      </c>
      <c r="BW49" s="33">
        <v>373.9</v>
      </c>
      <c r="BX49" s="33">
        <v>438.61666666666667</v>
      </c>
      <c r="BY49" s="33">
        <v>469</v>
      </c>
      <c r="BZ49" s="33">
        <v>434.8</v>
      </c>
      <c r="CA49" s="33">
        <v>500.4</v>
      </c>
      <c r="CB49" s="33">
        <v>482.73333333333335</v>
      </c>
      <c r="CC49" s="33">
        <v>503.48888888888888</v>
      </c>
      <c r="CD49" s="33">
        <v>458.90555555555557</v>
      </c>
      <c r="CE49" s="33">
        <v>455.8</v>
      </c>
      <c r="CF49" s="33">
        <v>411.81666666666666</v>
      </c>
      <c r="CG49" s="33">
        <v>290.98333333333335</v>
      </c>
      <c r="CH49" s="33">
        <v>201.95</v>
      </c>
      <c r="CI49" s="33">
        <v>157.6888888888889</v>
      </c>
      <c r="CJ49" s="33">
        <v>132.92777777777778</v>
      </c>
      <c r="CK49" s="33">
        <v>2849.3277777777776</v>
      </c>
      <c r="CL49" s="33">
        <v>867.61666666666667</v>
      </c>
      <c r="CM49" s="33">
        <v>783.55000000000007</v>
      </c>
      <c r="CN49" s="33">
        <v>4155.561111111112</v>
      </c>
      <c r="CO49" s="33">
        <v>4500.4944444444445</v>
      </c>
      <c r="CP49" s="33">
        <v>4939.1111111111122</v>
      </c>
      <c r="CQ49" s="33">
        <v>458.22777777777799</v>
      </c>
      <c r="CR49" s="33">
        <v>23.661111111111101</v>
      </c>
      <c r="CS49" s="33">
        <v>481.88888888888908</v>
      </c>
      <c r="CT49" s="33">
        <v>0</v>
      </c>
      <c r="CU49" s="33">
        <v>414</v>
      </c>
      <c r="CV49" s="32">
        <v>75</v>
      </c>
      <c r="CW49" s="32">
        <v>489</v>
      </c>
      <c r="CX49" s="32">
        <v>502</v>
      </c>
      <c r="CY49" s="32">
        <v>525</v>
      </c>
      <c r="CZ49" s="32">
        <v>492</v>
      </c>
      <c r="DA49" s="32">
        <v>541</v>
      </c>
      <c r="DB49" s="32">
        <v>527</v>
      </c>
      <c r="DC49" s="32">
        <v>539</v>
      </c>
      <c r="DD49" s="32">
        <v>497</v>
      </c>
      <c r="DE49" s="32">
        <v>458</v>
      </c>
      <c r="DF49" s="32">
        <v>292</v>
      </c>
      <c r="DG49" s="32">
        <v>217</v>
      </c>
      <c r="DH49" s="32">
        <v>177</v>
      </c>
      <c r="DI49" s="32">
        <v>139</v>
      </c>
      <c r="DJ49" s="32">
        <v>3126</v>
      </c>
      <c r="DK49" s="32">
        <v>955</v>
      </c>
      <c r="DL49" s="32">
        <v>825</v>
      </c>
      <c r="DM49" s="32">
        <v>4570</v>
      </c>
      <c r="DN49" s="32">
        <v>4906</v>
      </c>
      <c r="DO49" s="32">
        <v>5395</v>
      </c>
      <c r="DP49" s="32">
        <v>0</v>
      </c>
      <c r="DQ49" s="32">
        <v>1784</v>
      </c>
      <c r="DR49" s="32">
        <v>493</v>
      </c>
      <c r="DS49" s="32">
        <v>17</v>
      </c>
      <c r="DT49" s="32">
        <v>510</v>
      </c>
      <c r="DU49" s="32">
        <v>1468</v>
      </c>
      <c r="DV49" s="33">
        <v>280.113</v>
      </c>
      <c r="DW49" s="33">
        <v>267.21299999999997</v>
      </c>
      <c r="DX49" s="33">
        <v>145.291</v>
      </c>
      <c r="DY49" s="33">
        <v>89.033000000000001</v>
      </c>
      <c r="DZ49" s="33">
        <v>0</v>
      </c>
      <c r="EA49" s="33">
        <v>287.113</v>
      </c>
      <c r="EB49" s="34">
        <v>6.3162661552956356E-2</v>
      </c>
      <c r="EC49" s="32">
        <v>0</v>
      </c>
      <c r="ED49" s="32">
        <v>459</v>
      </c>
      <c r="EE49" s="32">
        <v>4915</v>
      </c>
      <c r="EF49" s="32">
        <v>3120</v>
      </c>
      <c r="EG49" s="32">
        <v>928</v>
      </c>
      <c r="EH49" s="32">
        <v>867</v>
      </c>
      <c r="EI49" s="32">
        <v>5374</v>
      </c>
      <c r="EJ49" s="32">
        <v>0</v>
      </c>
      <c r="EK49" s="32">
        <v>504</v>
      </c>
      <c r="EL49" s="32">
        <v>504</v>
      </c>
      <c r="EM49" s="32">
        <v>488</v>
      </c>
      <c r="EN49" s="32">
        <v>16</v>
      </c>
      <c r="EO49" s="32">
        <v>18</v>
      </c>
      <c r="EP49" s="33">
        <v>143.01</v>
      </c>
      <c r="EQ49" s="33">
        <v>6.55</v>
      </c>
      <c r="ER49" s="33">
        <v>83.36</v>
      </c>
      <c r="ES49" s="33">
        <v>10.61</v>
      </c>
      <c r="ET49" s="33">
        <v>67.930000000000007</v>
      </c>
      <c r="EU49" s="33">
        <v>311.46000000000004</v>
      </c>
    </row>
    <row r="50" spans="1:151" ht="27.6" x14ac:dyDescent="0.3">
      <c r="A50" s="25">
        <v>81</v>
      </c>
      <c r="B50" s="26" t="s">
        <v>275</v>
      </c>
      <c r="C50" s="27" t="s">
        <v>276</v>
      </c>
      <c r="D50" s="27" t="s">
        <v>272</v>
      </c>
      <c r="E50" s="26" t="s">
        <v>504</v>
      </c>
      <c r="F50" s="26" t="s">
        <v>504</v>
      </c>
      <c r="G50" s="28">
        <v>69.261111111111106</v>
      </c>
      <c r="H50" s="28">
        <v>6.322222222222222</v>
      </c>
      <c r="I50" s="29">
        <v>31</v>
      </c>
      <c r="J50" s="29">
        <v>188</v>
      </c>
      <c r="K50" s="29">
        <v>75</v>
      </c>
      <c r="L50" s="29">
        <v>126</v>
      </c>
      <c r="M50" s="29">
        <v>420</v>
      </c>
      <c r="N50" s="29">
        <v>389</v>
      </c>
      <c r="O50" s="29">
        <v>294</v>
      </c>
      <c r="P50" s="29">
        <v>6</v>
      </c>
      <c r="Q50" s="27">
        <v>30.2</v>
      </c>
      <c r="R50" s="27">
        <v>32.87222222222222</v>
      </c>
      <c r="S50" s="27">
        <v>27.961111111111112</v>
      </c>
      <c r="T50" s="27">
        <v>29.25</v>
      </c>
      <c r="U50" s="27">
        <v>26.577777777777779</v>
      </c>
      <c r="V50" s="27">
        <v>33.011111111111113</v>
      </c>
      <c r="W50" s="27">
        <v>28.316666666666666</v>
      </c>
      <c r="X50" s="27">
        <v>34.93333333333333</v>
      </c>
      <c r="Y50" s="27">
        <v>36.37777777777778</v>
      </c>
      <c r="Z50" s="27">
        <v>31.294444444444444</v>
      </c>
      <c r="AA50" s="27">
        <v>33.672222222222224</v>
      </c>
      <c r="AB50" s="27">
        <v>32.983333333333334</v>
      </c>
      <c r="AC50" s="27">
        <v>26.922222222222221</v>
      </c>
      <c r="AD50" s="27">
        <v>177.98888888888888</v>
      </c>
      <c r="AE50" s="27">
        <v>71.311111111111103</v>
      </c>
      <c r="AF50" s="27">
        <v>124.87222222222222</v>
      </c>
      <c r="AG50" s="27">
        <v>279.5</v>
      </c>
      <c r="AH50" s="27">
        <v>374.17222222222222</v>
      </c>
      <c r="AI50" s="27">
        <v>404.37222222222221</v>
      </c>
      <c r="AJ50" s="28">
        <v>95.138888888888886</v>
      </c>
      <c r="AK50" s="28">
        <v>6.1</v>
      </c>
      <c r="AL50" s="28">
        <v>101.23888888888888</v>
      </c>
      <c r="AM50" s="29">
        <v>29</v>
      </c>
      <c r="AN50" s="35">
        <v>25</v>
      </c>
      <c r="AO50" s="27">
        <v>31</v>
      </c>
      <c r="AP50" s="27">
        <v>27</v>
      </c>
      <c r="AQ50" s="27">
        <v>28</v>
      </c>
      <c r="AR50" s="27">
        <v>24</v>
      </c>
      <c r="AS50" s="27">
        <v>33</v>
      </c>
      <c r="AT50" s="27">
        <v>33</v>
      </c>
      <c r="AU50" s="27">
        <v>36</v>
      </c>
      <c r="AV50" s="27">
        <v>27</v>
      </c>
      <c r="AW50" s="27">
        <v>31</v>
      </c>
      <c r="AX50" s="27">
        <v>26</v>
      </c>
      <c r="AY50" s="27">
        <v>28</v>
      </c>
      <c r="AZ50" s="27">
        <v>168</v>
      </c>
      <c r="BA50" s="27">
        <v>69</v>
      </c>
      <c r="BB50" s="27">
        <v>112</v>
      </c>
      <c r="BC50" s="27">
        <v>266</v>
      </c>
      <c r="BD50" s="27">
        <v>349</v>
      </c>
      <c r="BE50" s="27">
        <v>378</v>
      </c>
      <c r="BF50" s="27">
        <v>29</v>
      </c>
      <c r="BG50" s="27">
        <v>0</v>
      </c>
      <c r="BH50" s="27">
        <v>0</v>
      </c>
      <c r="BI50" s="27">
        <v>154</v>
      </c>
      <c r="BJ50" s="27">
        <v>83</v>
      </c>
      <c r="BK50" s="29">
        <v>9</v>
      </c>
      <c r="BL50" s="29">
        <v>92</v>
      </c>
      <c r="BM50" s="29">
        <v>4</v>
      </c>
      <c r="BN50" s="30">
        <v>7.0849705304518673E-2</v>
      </c>
      <c r="BO50" s="31">
        <v>40.909999999999997</v>
      </c>
      <c r="BP50" s="31">
        <v>37.959999999999994</v>
      </c>
      <c r="BQ50" s="31">
        <v>36.97</v>
      </c>
      <c r="BR50" s="31">
        <v>40.909999999999997</v>
      </c>
      <c r="BS50" s="32">
        <v>0</v>
      </c>
      <c r="BT50" s="32">
        <v>0</v>
      </c>
      <c r="BU50" s="33">
        <v>0</v>
      </c>
      <c r="BV50" s="33">
        <v>1.0444439999999999</v>
      </c>
      <c r="BW50" s="33">
        <v>27.833333</v>
      </c>
      <c r="BX50" s="33">
        <v>28.877777777777776</v>
      </c>
      <c r="BY50" s="33">
        <v>24.761111111111113</v>
      </c>
      <c r="BZ50" s="33">
        <v>29.172222222222221</v>
      </c>
      <c r="CA50" s="33">
        <v>24.35</v>
      </c>
      <c r="CB50" s="33">
        <v>27.766666666666666</v>
      </c>
      <c r="CC50" s="33">
        <v>22.588888888888889</v>
      </c>
      <c r="CD50" s="33">
        <v>32.455555555555556</v>
      </c>
      <c r="CE50" s="33">
        <v>34.15</v>
      </c>
      <c r="CF50" s="33">
        <v>34.31111111111111</v>
      </c>
      <c r="CG50" s="33">
        <v>26.3</v>
      </c>
      <c r="CH50" s="33">
        <v>28.861111111111111</v>
      </c>
      <c r="CI50" s="33">
        <v>24.85</v>
      </c>
      <c r="CJ50" s="33">
        <v>27.594444444444445</v>
      </c>
      <c r="CK50" s="33">
        <v>161.09444444444443</v>
      </c>
      <c r="CL50" s="33">
        <v>68.461111111111109</v>
      </c>
      <c r="CM50" s="33">
        <v>107.60555555555557</v>
      </c>
      <c r="CN50" s="33">
        <v>258.43333333333334</v>
      </c>
      <c r="CO50" s="33">
        <v>337.1611111111111</v>
      </c>
      <c r="CP50" s="33">
        <v>366.03888888888889</v>
      </c>
      <c r="CQ50" s="33">
        <v>95.311111111111103</v>
      </c>
      <c r="CR50" s="33">
        <v>4</v>
      </c>
      <c r="CS50" s="33">
        <v>99.311111111111103</v>
      </c>
      <c r="CT50" s="33">
        <v>0</v>
      </c>
      <c r="CU50" s="33">
        <v>29</v>
      </c>
      <c r="CV50" s="32">
        <v>0</v>
      </c>
      <c r="CW50" s="32">
        <v>29</v>
      </c>
      <c r="CX50" s="32">
        <v>31</v>
      </c>
      <c r="CY50" s="32">
        <v>31</v>
      </c>
      <c r="CZ50" s="32">
        <v>31</v>
      </c>
      <c r="DA50" s="32">
        <v>30</v>
      </c>
      <c r="DB50" s="32">
        <v>30</v>
      </c>
      <c r="DC50" s="32">
        <v>22</v>
      </c>
      <c r="DD50" s="32">
        <v>35</v>
      </c>
      <c r="DE50" s="32">
        <v>34</v>
      </c>
      <c r="DF50" s="32">
        <v>34</v>
      </c>
      <c r="DG50" s="32">
        <v>28</v>
      </c>
      <c r="DH50" s="32">
        <v>25</v>
      </c>
      <c r="DI50" s="32">
        <v>26</v>
      </c>
      <c r="DJ50" s="32">
        <v>175</v>
      </c>
      <c r="DK50" s="32">
        <v>69</v>
      </c>
      <c r="DL50" s="32">
        <v>113</v>
      </c>
      <c r="DM50" s="32">
        <v>273</v>
      </c>
      <c r="DN50" s="32">
        <v>357</v>
      </c>
      <c r="DO50" s="32">
        <v>386</v>
      </c>
      <c r="DP50" s="32">
        <v>0</v>
      </c>
      <c r="DQ50" s="32">
        <v>143</v>
      </c>
      <c r="DR50" s="32">
        <v>90</v>
      </c>
      <c r="DS50" s="32">
        <v>5</v>
      </c>
      <c r="DT50" s="32">
        <v>95</v>
      </c>
      <c r="DU50" s="32">
        <v>5</v>
      </c>
      <c r="DV50" s="33">
        <v>44.484999999999999</v>
      </c>
      <c r="DW50" s="33">
        <v>41.484999999999992</v>
      </c>
      <c r="DX50" s="33">
        <v>14.997000000000002</v>
      </c>
      <c r="DY50" s="33">
        <v>21.160000000000004</v>
      </c>
      <c r="DZ50" s="33">
        <v>0.1</v>
      </c>
      <c r="EA50" s="33">
        <v>44.855000000000011</v>
      </c>
      <c r="EB50" s="34">
        <v>6.8569472111553731E-2</v>
      </c>
      <c r="EC50" s="32"/>
      <c r="ED50" s="32">
        <v>28</v>
      </c>
      <c r="EE50" s="32">
        <v>356</v>
      </c>
      <c r="EF50" s="32">
        <v>170</v>
      </c>
      <c r="EG50" s="32">
        <v>67</v>
      </c>
      <c r="EH50" s="32">
        <v>119</v>
      </c>
      <c r="EI50" s="32">
        <v>384</v>
      </c>
      <c r="EJ50" s="32">
        <v>0</v>
      </c>
      <c r="EK50" s="32">
        <v>106</v>
      </c>
      <c r="EL50" s="32">
        <v>106</v>
      </c>
      <c r="EM50" s="32">
        <v>99</v>
      </c>
      <c r="EN50" s="32">
        <v>7</v>
      </c>
      <c r="EO50" s="32">
        <v>0</v>
      </c>
      <c r="EP50" s="33">
        <v>10.8</v>
      </c>
      <c r="EQ50" s="33">
        <v>0</v>
      </c>
      <c r="ER50" s="33">
        <v>3.96</v>
      </c>
      <c r="ES50" s="33">
        <v>0.98</v>
      </c>
      <c r="ET50" s="33">
        <v>4.45</v>
      </c>
      <c r="EU50" s="33">
        <v>20.190000000000001</v>
      </c>
    </row>
    <row r="51" spans="1:151" ht="27.6" x14ac:dyDescent="0.3">
      <c r="A51" s="25">
        <v>82</v>
      </c>
      <c r="B51" s="26" t="s">
        <v>277</v>
      </c>
      <c r="C51" s="27" t="s">
        <v>278</v>
      </c>
      <c r="D51" s="27" t="s">
        <v>272</v>
      </c>
      <c r="E51" s="26" t="s">
        <v>504</v>
      </c>
      <c r="F51" s="26" t="s">
        <v>504</v>
      </c>
      <c r="G51" s="28">
        <v>232.62222222222223</v>
      </c>
      <c r="H51" s="28">
        <v>9.0111111111111111</v>
      </c>
      <c r="I51" s="29">
        <v>295</v>
      </c>
      <c r="J51" s="29">
        <v>1196</v>
      </c>
      <c r="K51" s="29">
        <v>302</v>
      </c>
      <c r="L51" s="29">
        <v>268</v>
      </c>
      <c r="M51" s="29">
        <v>2061</v>
      </c>
      <c r="N51" s="29">
        <v>1766</v>
      </c>
      <c r="O51" s="29">
        <v>1793</v>
      </c>
      <c r="P51" s="29">
        <v>6</v>
      </c>
      <c r="Q51" s="27">
        <v>289.01666666666665</v>
      </c>
      <c r="R51" s="27">
        <v>226.9</v>
      </c>
      <c r="S51" s="27">
        <v>237.01666666666668</v>
      </c>
      <c r="T51" s="27">
        <v>206.21111111111111</v>
      </c>
      <c r="U51" s="27">
        <v>193.78888888888889</v>
      </c>
      <c r="V51" s="27">
        <v>178.3388888888889</v>
      </c>
      <c r="W51" s="27">
        <v>142.61111111111111</v>
      </c>
      <c r="X51" s="27">
        <v>144.93333333333334</v>
      </c>
      <c r="Y51" s="27">
        <v>148.0611111111111</v>
      </c>
      <c r="Z51" s="27">
        <v>94.933333333333337</v>
      </c>
      <c r="AA51" s="27">
        <v>77.861111111111114</v>
      </c>
      <c r="AB51" s="27">
        <v>48.633333333333333</v>
      </c>
      <c r="AC51" s="27">
        <v>43.538888888888891</v>
      </c>
      <c r="AD51" s="27">
        <v>1184.8666666666666</v>
      </c>
      <c r="AE51" s="27">
        <v>292.99444444444441</v>
      </c>
      <c r="AF51" s="27">
        <v>264.9666666666667</v>
      </c>
      <c r="AG51" s="27">
        <v>1766.877777777778</v>
      </c>
      <c r="AH51" s="27">
        <v>1742.827777777778</v>
      </c>
      <c r="AI51" s="27">
        <v>2031.8444444444449</v>
      </c>
      <c r="AJ51" s="28">
        <v>276.78888888888889</v>
      </c>
      <c r="AK51" s="28">
        <v>8.1388888888888893</v>
      </c>
      <c r="AL51" s="28">
        <v>284.92777777777781</v>
      </c>
      <c r="AM51" s="29">
        <v>292</v>
      </c>
      <c r="AN51" s="35">
        <v>252</v>
      </c>
      <c r="AO51" s="27">
        <v>235</v>
      </c>
      <c r="AP51" s="27">
        <v>236</v>
      </c>
      <c r="AQ51" s="27">
        <v>210</v>
      </c>
      <c r="AR51" s="27">
        <v>195</v>
      </c>
      <c r="AS51" s="27">
        <v>143</v>
      </c>
      <c r="AT51" s="27">
        <v>162</v>
      </c>
      <c r="AU51" s="27">
        <v>155</v>
      </c>
      <c r="AV51" s="27">
        <v>96</v>
      </c>
      <c r="AW51" s="27">
        <v>72</v>
      </c>
      <c r="AX51" s="27">
        <v>68</v>
      </c>
      <c r="AY51" s="27">
        <v>40</v>
      </c>
      <c r="AZ51" s="27">
        <v>1271</v>
      </c>
      <c r="BA51" s="27">
        <v>317</v>
      </c>
      <c r="BB51" s="27">
        <v>276</v>
      </c>
      <c r="BC51" s="27">
        <v>1880</v>
      </c>
      <c r="BD51" s="27">
        <v>1864</v>
      </c>
      <c r="BE51" s="27">
        <v>2156</v>
      </c>
      <c r="BF51" s="27">
        <v>234</v>
      </c>
      <c r="BG51" s="27">
        <v>58</v>
      </c>
      <c r="BH51" s="27">
        <v>3</v>
      </c>
      <c r="BI51" s="27">
        <v>824</v>
      </c>
      <c r="BJ51" s="27">
        <v>310</v>
      </c>
      <c r="BK51" s="29">
        <v>4</v>
      </c>
      <c r="BL51" s="29">
        <v>314</v>
      </c>
      <c r="BM51" s="29">
        <v>359</v>
      </c>
      <c r="BN51" s="30">
        <v>6.2421986534875684E-2</v>
      </c>
      <c r="BO51" s="31">
        <v>138.83099999999999</v>
      </c>
      <c r="BP51" s="31">
        <v>129.941</v>
      </c>
      <c r="BQ51" s="31">
        <v>125.941</v>
      </c>
      <c r="BR51" s="31">
        <v>139.83100000000002</v>
      </c>
      <c r="BS51" s="32">
        <v>0</v>
      </c>
      <c r="BT51" s="32">
        <v>0</v>
      </c>
      <c r="BU51" s="33">
        <v>0</v>
      </c>
      <c r="BV51" s="33">
        <v>58.611111000000001</v>
      </c>
      <c r="BW51" s="33">
        <v>225.522222</v>
      </c>
      <c r="BX51" s="33">
        <v>284.13333333333333</v>
      </c>
      <c r="BY51" s="33">
        <v>253.70555555555555</v>
      </c>
      <c r="BZ51" s="33">
        <v>229.18333333333334</v>
      </c>
      <c r="CA51" s="33">
        <v>233.94444444444446</v>
      </c>
      <c r="CB51" s="33">
        <v>211.76111111111112</v>
      </c>
      <c r="CC51" s="33">
        <v>192.44444444444446</v>
      </c>
      <c r="CD51" s="33">
        <v>140.30555555555554</v>
      </c>
      <c r="CE51" s="33">
        <v>155.71666666666667</v>
      </c>
      <c r="CF51" s="33">
        <v>150.9388888888889</v>
      </c>
      <c r="CG51" s="33">
        <v>96.105555555555554</v>
      </c>
      <c r="CH51" s="33">
        <v>70.611111111111114</v>
      </c>
      <c r="CI51" s="33">
        <v>66.2</v>
      </c>
      <c r="CJ51" s="33">
        <v>39.977777777777774</v>
      </c>
      <c r="CK51" s="33">
        <v>1261.3444444444444</v>
      </c>
      <c r="CL51" s="33">
        <v>306.65555555555557</v>
      </c>
      <c r="CM51" s="33">
        <v>272.89444444444445</v>
      </c>
      <c r="CN51" s="33">
        <v>1852.1333333333332</v>
      </c>
      <c r="CO51" s="33">
        <v>1840.8944444444446</v>
      </c>
      <c r="CP51" s="33">
        <v>2125.0277777777774</v>
      </c>
      <c r="CQ51" s="33">
        <v>291.7</v>
      </c>
      <c r="CR51" s="33">
        <v>9.0833333333333304</v>
      </c>
      <c r="CS51" s="33">
        <v>300.7833333333333</v>
      </c>
      <c r="CT51" s="33">
        <v>0</v>
      </c>
      <c r="CU51" s="33">
        <v>258</v>
      </c>
      <c r="CV51" s="32">
        <v>7</v>
      </c>
      <c r="CW51" s="32">
        <v>265</v>
      </c>
      <c r="CX51" s="32">
        <v>244</v>
      </c>
      <c r="CY51" s="32">
        <v>249</v>
      </c>
      <c r="CZ51" s="32">
        <v>231</v>
      </c>
      <c r="DA51" s="32">
        <v>232</v>
      </c>
      <c r="DB51" s="32">
        <v>213</v>
      </c>
      <c r="DC51" s="32">
        <v>154</v>
      </c>
      <c r="DD51" s="32">
        <v>132</v>
      </c>
      <c r="DE51" s="32">
        <v>143</v>
      </c>
      <c r="DF51" s="32">
        <v>101</v>
      </c>
      <c r="DG51" s="32">
        <v>73</v>
      </c>
      <c r="DH51" s="32">
        <v>57</v>
      </c>
      <c r="DI51" s="32">
        <v>64</v>
      </c>
      <c r="DJ51" s="32">
        <v>1323</v>
      </c>
      <c r="DK51" s="32">
        <v>275</v>
      </c>
      <c r="DL51" s="32">
        <v>295</v>
      </c>
      <c r="DM51" s="32">
        <v>1863</v>
      </c>
      <c r="DN51" s="32">
        <v>1893</v>
      </c>
      <c r="DO51" s="32">
        <v>2158</v>
      </c>
      <c r="DP51" s="32">
        <v>5</v>
      </c>
      <c r="DQ51" s="32">
        <v>749</v>
      </c>
      <c r="DR51" s="32">
        <v>277</v>
      </c>
      <c r="DS51" s="32">
        <v>3</v>
      </c>
      <c r="DT51" s="32">
        <v>280</v>
      </c>
      <c r="DU51" s="32">
        <v>289</v>
      </c>
      <c r="DV51" s="33">
        <v>147.35</v>
      </c>
      <c r="DW51" s="33">
        <v>138.94</v>
      </c>
      <c r="DX51" s="33">
        <v>87.64</v>
      </c>
      <c r="DY51" s="33">
        <v>39.469999999999985</v>
      </c>
      <c r="DZ51" s="33">
        <v>0</v>
      </c>
      <c r="EA51" s="33">
        <v>154</v>
      </c>
      <c r="EB51" s="34">
        <v>6.5225020644095466E-2</v>
      </c>
      <c r="EC51" s="32"/>
      <c r="ED51" s="32">
        <v>243</v>
      </c>
      <c r="EE51" s="32">
        <v>1910</v>
      </c>
      <c r="EF51" s="32">
        <v>1364</v>
      </c>
      <c r="EG51" s="32">
        <v>292</v>
      </c>
      <c r="EH51" s="32">
        <v>254</v>
      </c>
      <c r="EI51" s="32">
        <v>2153</v>
      </c>
      <c r="EJ51" s="32">
        <v>0</v>
      </c>
      <c r="EK51" s="32">
        <v>281</v>
      </c>
      <c r="EL51" s="32">
        <v>281</v>
      </c>
      <c r="EM51" s="32">
        <v>279</v>
      </c>
      <c r="EN51" s="32">
        <v>2</v>
      </c>
      <c r="EO51" s="32">
        <v>80</v>
      </c>
      <c r="EP51" s="33">
        <v>57.85</v>
      </c>
      <c r="EQ51" s="33">
        <v>1.5</v>
      </c>
      <c r="ER51" s="33">
        <v>7.7</v>
      </c>
      <c r="ES51" s="33">
        <v>6.7</v>
      </c>
      <c r="ET51" s="33">
        <v>31.2</v>
      </c>
      <c r="EU51" s="33">
        <v>104.95</v>
      </c>
    </row>
    <row r="52" spans="1:151" x14ac:dyDescent="0.3">
      <c r="A52" s="25">
        <v>83</v>
      </c>
      <c r="B52" s="26" t="s">
        <v>279</v>
      </c>
      <c r="C52" s="27" t="s">
        <v>280</v>
      </c>
      <c r="D52" s="27" t="s">
        <v>272</v>
      </c>
      <c r="E52" s="26" t="s">
        <v>504</v>
      </c>
      <c r="F52" s="26" t="s">
        <v>504</v>
      </c>
      <c r="G52" s="28">
        <v>30.672222222222221</v>
      </c>
      <c r="H52" s="28">
        <v>0</v>
      </c>
      <c r="I52" s="29">
        <v>0</v>
      </c>
      <c r="J52" s="29">
        <v>0</v>
      </c>
      <c r="K52" s="29">
        <v>0</v>
      </c>
      <c r="L52" s="29">
        <v>454</v>
      </c>
      <c r="M52" s="29">
        <v>454</v>
      </c>
      <c r="N52" s="29">
        <v>454</v>
      </c>
      <c r="O52" s="29">
        <v>0</v>
      </c>
      <c r="P52" s="29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117.66111111111111</v>
      </c>
      <c r="AA52" s="27">
        <v>124.45</v>
      </c>
      <c r="AB52" s="27">
        <v>108.7</v>
      </c>
      <c r="AC52" s="27">
        <v>102.47222222222223</v>
      </c>
      <c r="AD52" s="27">
        <v>0</v>
      </c>
      <c r="AE52" s="27">
        <v>0</v>
      </c>
      <c r="AF52" s="27">
        <v>453.28333333333336</v>
      </c>
      <c r="AG52" s="27">
        <v>0</v>
      </c>
      <c r="AH52" s="27">
        <v>453.28333333333336</v>
      </c>
      <c r="AI52" s="27">
        <v>453.28333333333336</v>
      </c>
      <c r="AJ52" s="28">
        <v>28.227777777777778</v>
      </c>
      <c r="AK52" s="28">
        <v>0</v>
      </c>
      <c r="AL52" s="28">
        <v>28.227777777777778</v>
      </c>
      <c r="AM52" s="29">
        <v>0</v>
      </c>
      <c r="AN52" s="35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122</v>
      </c>
      <c r="AW52" s="27">
        <v>119</v>
      </c>
      <c r="AX52" s="27">
        <v>126</v>
      </c>
      <c r="AY52" s="27">
        <v>102</v>
      </c>
      <c r="AZ52" s="27">
        <v>0</v>
      </c>
      <c r="BA52" s="27">
        <v>0</v>
      </c>
      <c r="BB52" s="27">
        <v>469</v>
      </c>
      <c r="BC52" s="27">
        <v>0</v>
      </c>
      <c r="BD52" s="27">
        <v>469</v>
      </c>
      <c r="BE52" s="27">
        <v>469</v>
      </c>
      <c r="BF52" s="27">
        <v>0</v>
      </c>
      <c r="BG52" s="27">
        <v>0</v>
      </c>
      <c r="BH52" s="27">
        <v>0</v>
      </c>
      <c r="BI52" s="27">
        <v>81</v>
      </c>
      <c r="BJ52" s="27">
        <v>35</v>
      </c>
      <c r="BK52" s="29">
        <v>0</v>
      </c>
      <c r="BL52" s="29">
        <v>35</v>
      </c>
      <c r="BM52" s="29">
        <v>19</v>
      </c>
      <c r="BN52" s="30">
        <v>9.3934396105748053E-2</v>
      </c>
      <c r="BO52" s="31">
        <v>26</v>
      </c>
      <c r="BP52" s="31">
        <v>24</v>
      </c>
      <c r="BQ52" s="31">
        <v>24</v>
      </c>
      <c r="BR52" s="31">
        <v>26</v>
      </c>
      <c r="BS52" s="32">
        <v>0</v>
      </c>
      <c r="BT52" s="32">
        <v>0</v>
      </c>
      <c r="BU52" s="33">
        <v>0</v>
      </c>
      <c r="BV52" s="33">
        <v>0</v>
      </c>
      <c r="BW52" s="33">
        <v>0</v>
      </c>
      <c r="BX52" s="33">
        <v>0</v>
      </c>
      <c r="BY52" s="33">
        <v>0</v>
      </c>
      <c r="BZ52" s="33">
        <v>0</v>
      </c>
      <c r="CA52" s="33">
        <v>0</v>
      </c>
      <c r="CB52" s="33">
        <v>0</v>
      </c>
      <c r="CC52" s="33">
        <v>0</v>
      </c>
      <c r="CD52" s="33">
        <v>0</v>
      </c>
      <c r="CE52" s="33">
        <v>0</v>
      </c>
      <c r="CF52" s="33">
        <v>0</v>
      </c>
      <c r="CG52" s="33">
        <v>120.35</v>
      </c>
      <c r="CH52" s="33">
        <v>118.85555555555555</v>
      </c>
      <c r="CI52" s="33">
        <v>124.87777777777778</v>
      </c>
      <c r="CJ52" s="33">
        <v>100.96111111111111</v>
      </c>
      <c r="CK52" s="33">
        <v>0</v>
      </c>
      <c r="CL52" s="33">
        <v>0</v>
      </c>
      <c r="CM52" s="33">
        <v>465.04444444444442</v>
      </c>
      <c r="CN52" s="33">
        <v>0</v>
      </c>
      <c r="CO52" s="33">
        <v>465.04444444444442</v>
      </c>
      <c r="CP52" s="33">
        <v>465.04444444444442</v>
      </c>
      <c r="CQ52" s="33">
        <v>36.311111111111103</v>
      </c>
      <c r="CR52" s="33">
        <v>0</v>
      </c>
      <c r="CS52" s="33">
        <v>36.311111111111103</v>
      </c>
      <c r="CT52" s="33">
        <v>0</v>
      </c>
      <c r="CU52" s="33">
        <v>0</v>
      </c>
      <c r="CV52" s="32">
        <v>0</v>
      </c>
      <c r="CW52" s="32">
        <v>0</v>
      </c>
      <c r="CX52" s="32">
        <v>0</v>
      </c>
      <c r="CY52" s="32">
        <v>0</v>
      </c>
      <c r="CZ52" s="32">
        <v>0</v>
      </c>
      <c r="DA52" s="32">
        <v>0</v>
      </c>
      <c r="DB52" s="32">
        <v>0</v>
      </c>
      <c r="DC52" s="32">
        <v>0</v>
      </c>
      <c r="DD52" s="32">
        <v>0</v>
      </c>
      <c r="DE52" s="32">
        <v>0</v>
      </c>
      <c r="DF52" s="32">
        <v>112</v>
      </c>
      <c r="DG52" s="32">
        <v>121</v>
      </c>
      <c r="DH52" s="32">
        <v>112</v>
      </c>
      <c r="DI52" s="32">
        <v>113</v>
      </c>
      <c r="DJ52" s="32">
        <v>0</v>
      </c>
      <c r="DK52" s="32">
        <v>0</v>
      </c>
      <c r="DL52" s="32">
        <v>458</v>
      </c>
      <c r="DM52" s="32">
        <v>0</v>
      </c>
      <c r="DN52" s="32">
        <v>458</v>
      </c>
      <c r="DO52" s="32">
        <v>458</v>
      </c>
      <c r="DP52" s="32">
        <v>0</v>
      </c>
      <c r="DQ52" s="32">
        <v>88</v>
      </c>
      <c r="DR52" s="32">
        <v>41</v>
      </c>
      <c r="DS52" s="32">
        <v>1</v>
      </c>
      <c r="DT52" s="32">
        <v>42</v>
      </c>
      <c r="DU52" s="32">
        <v>26</v>
      </c>
      <c r="DV52" s="33">
        <v>26.5</v>
      </c>
      <c r="DW52" s="33">
        <v>24.5</v>
      </c>
      <c r="DX52" s="33">
        <v>0.17</v>
      </c>
      <c r="DY52" s="33">
        <v>22.189999999999998</v>
      </c>
      <c r="DZ52" s="33">
        <v>0</v>
      </c>
      <c r="EA52" s="33">
        <v>26.5</v>
      </c>
      <c r="EB52" s="34">
        <v>9.7170441949134823E-2</v>
      </c>
      <c r="EC52" s="32"/>
      <c r="ED52" s="32">
        <v>0</v>
      </c>
      <c r="EE52" s="32">
        <v>454</v>
      </c>
      <c r="EF52" s="32">
        <v>0</v>
      </c>
      <c r="EG52" s="32">
        <v>0</v>
      </c>
      <c r="EH52" s="32">
        <v>454</v>
      </c>
      <c r="EI52" s="32">
        <v>454</v>
      </c>
      <c r="EJ52" s="32">
        <v>0</v>
      </c>
      <c r="EK52" s="32">
        <v>42</v>
      </c>
      <c r="EL52" s="32">
        <v>42</v>
      </c>
      <c r="EM52" s="32">
        <v>41</v>
      </c>
      <c r="EN52" s="32">
        <v>1</v>
      </c>
      <c r="EO52" s="32">
        <v>1</v>
      </c>
      <c r="EP52" s="33">
        <v>0</v>
      </c>
      <c r="EQ52" s="33">
        <v>0</v>
      </c>
      <c r="ER52" s="33">
        <v>4</v>
      </c>
      <c r="ES52" s="33">
        <v>1</v>
      </c>
      <c r="ET52" s="33">
        <v>0</v>
      </c>
      <c r="EU52" s="33">
        <v>5</v>
      </c>
    </row>
    <row r="53" spans="1:151" ht="41.4" x14ac:dyDescent="0.3">
      <c r="A53" s="25">
        <v>86</v>
      </c>
      <c r="B53" s="26" t="s">
        <v>281</v>
      </c>
      <c r="C53" s="27" t="s">
        <v>47</v>
      </c>
      <c r="D53" s="27" t="s">
        <v>272</v>
      </c>
      <c r="E53" s="26" t="s">
        <v>504</v>
      </c>
      <c r="F53" s="26" t="s">
        <v>504</v>
      </c>
      <c r="G53" s="28">
        <v>92.027777777777771</v>
      </c>
      <c r="H53" s="28">
        <v>46.666666666666664</v>
      </c>
      <c r="I53" s="29">
        <v>25</v>
      </c>
      <c r="J53" s="29">
        <v>170</v>
      </c>
      <c r="K53" s="29">
        <v>61</v>
      </c>
      <c r="L53" s="29">
        <v>152</v>
      </c>
      <c r="M53" s="29">
        <v>408</v>
      </c>
      <c r="N53" s="29">
        <v>383</v>
      </c>
      <c r="O53" s="29">
        <v>256</v>
      </c>
      <c r="P53" s="29">
        <v>41</v>
      </c>
      <c r="Q53" s="27">
        <v>16.238888888888887</v>
      </c>
      <c r="R53" s="27">
        <v>26.833333333333332</v>
      </c>
      <c r="S53" s="27">
        <v>18.111111111111111</v>
      </c>
      <c r="T53" s="27">
        <v>30.155555555555555</v>
      </c>
      <c r="U53" s="27">
        <v>21.588888888888889</v>
      </c>
      <c r="V53" s="27">
        <v>33.394444444444446</v>
      </c>
      <c r="W53" s="27">
        <v>25.283333333333335</v>
      </c>
      <c r="X53" s="27">
        <v>19.43888888888889</v>
      </c>
      <c r="Y53" s="27">
        <v>30.816666666666666</v>
      </c>
      <c r="Z53" s="27">
        <v>36.916666666666664</v>
      </c>
      <c r="AA53" s="27">
        <v>36.266666666666666</v>
      </c>
      <c r="AB53" s="27">
        <v>24.155555555555555</v>
      </c>
      <c r="AC53" s="27">
        <v>37.261111111111113</v>
      </c>
      <c r="AD53" s="27">
        <v>155.36666666666665</v>
      </c>
      <c r="AE53" s="27">
        <v>50.25555555555556</v>
      </c>
      <c r="AF53" s="27">
        <v>134.6</v>
      </c>
      <c r="AG53" s="27">
        <v>221.86111111111111</v>
      </c>
      <c r="AH53" s="27">
        <v>340.22222222222223</v>
      </c>
      <c r="AI53" s="27">
        <v>356.46111111111111</v>
      </c>
      <c r="AJ53" s="28">
        <v>85.738888888888894</v>
      </c>
      <c r="AK53" s="28">
        <v>41.65</v>
      </c>
      <c r="AL53" s="28">
        <v>127.38888888888889</v>
      </c>
      <c r="AM53" s="29">
        <v>18</v>
      </c>
      <c r="AN53" s="35">
        <v>18</v>
      </c>
      <c r="AO53" s="27">
        <v>32</v>
      </c>
      <c r="AP53" s="27">
        <v>19</v>
      </c>
      <c r="AQ53" s="27">
        <v>31</v>
      </c>
      <c r="AR53" s="27">
        <v>28</v>
      </c>
      <c r="AS53" s="27">
        <v>36</v>
      </c>
      <c r="AT53" s="27">
        <v>31</v>
      </c>
      <c r="AU53" s="27">
        <v>28</v>
      </c>
      <c r="AV53" s="27">
        <v>35</v>
      </c>
      <c r="AW53" s="27">
        <v>43</v>
      </c>
      <c r="AX53" s="27">
        <v>40</v>
      </c>
      <c r="AY53" s="27">
        <v>23</v>
      </c>
      <c r="AZ53" s="27">
        <v>164</v>
      </c>
      <c r="BA53" s="27">
        <v>59</v>
      </c>
      <c r="BB53" s="27">
        <v>141</v>
      </c>
      <c r="BC53" s="27">
        <v>241</v>
      </c>
      <c r="BD53" s="27">
        <v>364</v>
      </c>
      <c r="BE53" s="27">
        <v>382</v>
      </c>
      <c r="BF53" s="27">
        <v>18</v>
      </c>
      <c r="BG53" s="27">
        <v>0</v>
      </c>
      <c r="BH53" s="27">
        <v>0</v>
      </c>
      <c r="BI53" s="27">
        <v>261</v>
      </c>
      <c r="BJ53" s="27">
        <v>87</v>
      </c>
      <c r="BK53" s="29">
        <v>30</v>
      </c>
      <c r="BL53" s="29">
        <v>117</v>
      </c>
      <c r="BM53" s="29">
        <v>0</v>
      </c>
      <c r="BN53" s="30">
        <v>7.4126857034967408E-2</v>
      </c>
      <c r="BO53" s="31">
        <v>27.186499999999999</v>
      </c>
      <c r="BP53" s="31">
        <v>25.797499999999999</v>
      </c>
      <c r="BQ53" s="31">
        <v>22.325500000000002</v>
      </c>
      <c r="BR53" s="31">
        <v>29.742499999999996</v>
      </c>
      <c r="BS53" s="32">
        <v>0</v>
      </c>
      <c r="BT53" s="32">
        <v>0</v>
      </c>
      <c r="BU53" s="33">
        <v>0</v>
      </c>
      <c r="BV53" s="33">
        <v>1.2611110000000001</v>
      </c>
      <c r="BW53" s="33">
        <v>16.411110999999998</v>
      </c>
      <c r="BX53" s="33">
        <v>17.672222222222221</v>
      </c>
      <c r="BY53" s="33">
        <v>17.266666666666666</v>
      </c>
      <c r="BZ53" s="33">
        <v>27.85</v>
      </c>
      <c r="CA53" s="33">
        <v>18.394444444444446</v>
      </c>
      <c r="CB53" s="33">
        <v>31.066666666666666</v>
      </c>
      <c r="CC53" s="33">
        <v>23.927777777777777</v>
      </c>
      <c r="CD53" s="33">
        <v>32.016666666666666</v>
      </c>
      <c r="CE53" s="33">
        <v>22.677777777777777</v>
      </c>
      <c r="CF53" s="33">
        <v>23.888888888888889</v>
      </c>
      <c r="CG53" s="33">
        <v>33.450000000000003</v>
      </c>
      <c r="CH53" s="33">
        <v>37</v>
      </c>
      <c r="CI53" s="33">
        <v>36.511111111111113</v>
      </c>
      <c r="CJ53" s="33">
        <v>21.511111111111113</v>
      </c>
      <c r="CK53" s="33">
        <v>150.52222222222224</v>
      </c>
      <c r="CL53" s="33">
        <v>46.566666666666663</v>
      </c>
      <c r="CM53" s="33">
        <v>128.47222222222223</v>
      </c>
      <c r="CN53" s="33">
        <v>214.76111111111112</v>
      </c>
      <c r="CO53" s="33">
        <v>325.56111111111113</v>
      </c>
      <c r="CP53" s="33">
        <v>343.23333333333335</v>
      </c>
      <c r="CQ53" s="33">
        <v>83.35</v>
      </c>
      <c r="CR53" s="33">
        <v>28.466666666666701</v>
      </c>
      <c r="CS53" s="33">
        <v>111.81666666666669</v>
      </c>
      <c r="CT53" s="33">
        <v>0</v>
      </c>
      <c r="CU53" s="33">
        <v>22</v>
      </c>
      <c r="CV53" s="32">
        <v>0</v>
      </c>
      <c r="CW53" s="32">
        <v>22</v>
      </c>
      <c r="CX53" s="32">
        <v>15</v>
      </c>
      <c r="CY53" s="32">
        <v>20</v>
      </c>
      <c r="CZ53" s="32">
        <v>25</v>
      </c>
      <c r="DA53" s="32">
        <v>18</v>
      </c>
      <c r="DB53" s="32">
        <v>29</v>
      </c>
      <c r="DC53" s="32">
        <v>27</v>
      </c>
      <c r="DD53" s="32">
        <v>34</v>
      </c>
      <c r="DE53" s="32">
        <v>27</v>
      </c>
      <c r="DF53" s="32">
        <v>30</v>
      </c>
      <c r="DG53" s="32">
        <v>35</v>
      </c>
      <c r="DH53" s="32">
        <v>38</v>
      </c>
      <c r="DI53" s="32">
        <v>29</v>
      </c>
      <c r="DJ53" s="32">
        <v>134</v>
      </c>
      <c r="DK53" s="32">
        <v>61</v>
      </c>
      <c r="DL53" s="32">
        <v>132</v>
      </c>
      <c r="DM53" s="32">
        <v>217</v>
      </c>
      <c r="DN53" s="32">
        <v>327</v>
      </c>
      <c r="DO53" s="32">
        <v>349</v>
      </c>
      <c r="DP53" s="32">
        <v>0</v>
      </c>
      <c r="DQ53" s="32">
        <v>261</v>
      </c>
      <c r="DR53" s="32">
        <v>67</v>
      </c>
      <c r="DS53" s="32">
        <v>35</v>
      </c>
      <c r="DT53" s="32">
        <v>102</v>
      </c>
      <c r="DU53" s="32">
        <v>0</v>
      </c>
      <c r="DV53" s="33">
        <v>29.25</v>
      </c>
      <c r="DW53" s="33">
        <v>27.35</v>
      </c>
      <c r="DX53" s="33">
        <v>9.65</v>
      </c>
      <c r="DY53" s="33">
        <v>12.559999999999999</v>
      </c>
      <c r="DZ53" s="33">
        <v>0.5</v>
      </c>
      <c r="EA53" s="33">
        <v>30.5</v>
      </c>
      <c r="EB53" s="34">
        <v>7.2083506401763142E-2</v>
      </c>
      <c r="EC53" s="32"/>
      <c r="ED53" s="32">
        <v>19</v>
      </c>
      <c r="EE53" s="32">
        <v>329</v>
      </c>
      <c r="EF53" s="32">
        <v>124</v>
      </c>
      <c r="EG53" s="32">
        <v>53</v>
      </c>
      <c r="EH53" s="32">
        <v>152</v>
      </c>
      <c r="EI53" s="32">
        <v>348</v>
      </c>
      <c r="EJ53" s="32">
        <v>1</v>
      </c>
      <c r="EK53" s="32">
        <v>97</v>
      </c>
      <c r="EL53" s="32">
        <v>98</v>
      </c>
      <c r="EM53" s="32">
        <v>65</v>
      </c>
      <c r="EN53" s="32">
        <v>32</v>
      </c>
      <c r="EO53" s="32">
        <v>0</v>
      </c>
      <c r="EP53" s="33">
        <v>1</v>
      </c>
      <c r="EQ53" s="33">
        <v>0</v>
      </c>
      <c r="ER53" s="33">
        <v>2</v>
      </c>
      <c r="ES53" s="33">
        <v>0</v>
      </c>
      <c r="ET53" s="33">
        <v>0</v>
      </c>
      <c r="EU53" s="33">
        <v>3</v>
      </c>
    </row>
    <row r="54" spans="1:151" x14ac:dyDescent="0.3">
      <c r="A54" s="25">
        <v>87</v>
      </c>
      <c r="B54" s="26" t="s">
        <v>283</v>
      </c>
      <c r="C54" s="27" t="s">
        <v>48</v>
      </c>
      <c r="D54" s="27" t="s">
        <v>272</v>
      </c>
      <c r="E54" s="26" t="s">
        <v>504</v>
      </c>
      <c r="F54" s="26" t="s">
        <v>504</v>
      </c>
      <c r="G54" s="28">
        <v>17.277777777777779</v>
      </c>
      <c r="H54" s="28">
        <v>3.5777777777777779</v>
      </c>
      <c r="I54" s="29">
        <v>0</v>
      </c>
      <c r="J54" s="29">
        <v>0</v>
      </c>
      <c r="K54" s="29">
        <v>31</v>
      </c>
      <c r="L54" s="29">
        <v>86</v>
      </c>
      <c r="M54" s="29">
        <v>117</v>
      </c>
      <c r="N54" s="29">
        <v>117</v>
      </c>
      <c r="O54" s="29">
        <v>31</v>
      </c>
      <c r="P54" s="29">
        <v>2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15.633333333333333</v>
      </c>
      <c r="Y54" s="27">
        <v>17.772222222222222</v>
      </c>
      <c r="Z54" s="27">
        <v>25.088888888888889</v>
      </c>
      <c r="AA54" s="27">
        <v>17.427777777777777</v>
      </c>
      <c r="AB54" s="27">
        <v>22.344444444444445</v>
      </c>
      <c r="AC54" s="27">
        <v>16.155555555555555</v>
      </c>
      <c r="AD54" s="27">
        <v>0</v>
      </c>
      <c r="AE54" s="27">
        <v>33.405555555555551</v>
      </c>
      <c r="AF54" s="27">
        <v>81.016666666666666</v>
      </c>
      <c r="AG54" s="27">
        <v>33.405555555555551</v>
      </c>
      <c r="AH54" s="27">
        <v>114.42222222222222</v>
      </c>
      <c r="AI54" s="27">
        <v>114.42222222222222</v>
      </c>
      <c r="AJ54" s="28">
        <v>21.494444444444444</v>
      </c>
      <c r="AK54" s="28">
        <v>2.9333333333333331</v>
      </c>
      <c r="AL54" s="28">
        <v>24.427777777777777</v>
      </c>
      <c r="AM54" s="29">
        <v>0</v>
      </c>
      <c r="AN54" s="35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T54" s="27">
        <v>12</v>
      </c>
      <c r="AU54" s="27">
        <v>17</v>
      </c>
      <c r="AV54" s="27">
        <v>11</v>
      </c>
      <c r="AW54" s="27">
        <v>31</v>
      </c>
      <c r="AX54" s="27">
        <v>8</v>
      </c>
      <c r="AY54" s="27">
        <v>20</v>
      </c>
      <c r="AZ54" s="27">
        <v>0</v>
      </c>
      <c r="BA54" s="27">
        <v>29</v>
      </c>
      <c r="BB54" s="27">
        <v>70</v>
      </c>
      <c r="BC54" s="27">
        <v>29</v>
      </c>
      <c r="BD54" s="27">
        <v>99</v>
      </c>
      <c r="BE54" s="27">
        <v>99</v>
      </c>
      <c r="BF54" s="27">
        <v>0</v>
      </c>
      <c r="BG54" s="27">
        <v>0</v>
      </c>
      <c r="BH54" s="27">
        <v>0</v>
      </c>
      <c r="BI54" s="27">
        <v>59</v>
      </c>
      <c r="BJ54" s="27">
        <v>23</v>
      </c>
      <c r="BK54" s="29">
        <v>1</v>
      </c>
      <c r="BL54" s="29">
        <v>24</v>
      </c>
      <c r="BM54" s="29">
        <v>26</v>
      </c>
      <c r="BN54" s="30">
        <v>7.4896753061805765E-2</v>
      </c>
      <c r="BO54" s="31">
        <v>14.417</v>
      </c>
      <c r="BP54" s="31">
        <v>13.117000000000001</v>
      </c>
      <c r="BQ54" s="31">
        <v>13.117000000000001</v>
      </c>
      <c r="BR54" s="31">
        <v>16.417000000000002</v>
      </c>
      <c r="BS54" s="32">
        <v>0</v>
      </c>
      <c r="BT54" s="32">
        <v>0</v>
      </c>
      <c r="BU54" s="33">
        <v>0</v>
      </c>
      <c r="BV54" s="33">
        <v>0</v>
      </c>
      <c r="BW54" s="33">
        <v>0</v>
      </c>
      <c r="BX54" s="33">
        <v>0</v>
      </c>
      <c r="BY54" s="33">
        <v>0</v>
      </c>
      <c r="BZ54" s="33">
        <v>0</v>
      </c>
      <c r="CA54" s="33">
        <v>0</v>
      </c>
      <c r="CB54" s="33">
        <v>0</v>
      </c>
      <c r="CC54" s="33">
        <v>0</v>
      </c>
      <c r="CD54" s="33">
        <v>0</v>
      </c>
      <c r="CE54" s="33">
        <v>10.644444444444444</v>
      </c>
      <c r="CF54" s="33">
        <v>15.238888888888889</v>
      </c>
      <c r="CG54" s="33">
        <v>10.022222222222222</v>
      </c>
      <c r="CH54" s="33">
        <v>28.483333333333334</v>
      </c>
      <c r="CI54" s="33">
        <v>8.4555555555555557</v>
      </c>
      <c r="CJ54" s="33">
        <v>18.477777777777778</v>
      </c>
      <c r="CK54" s="33">
        <v>0</v>
      </c>
      <c r="CL54" s="33">
        <v>25.883333333333333</v>
      </c>
      <c r="CM54" s="33">
        <v>65.438888888888897</v>
      </c>
      <c r="CN54" s="33">
        <v>25.883333333333333</v>
      </c>
      <c r="CO54" s="33">
        <v>91.322222222222209</v>
      </c>
      <c r="CP54" s="33">
        <v>91.322222222222209</v>
      </c>
      <c r="CQ54" s="33">
        <v>20.177777777777798</v>
      </c>
      <c r="CR54" s="33">
        <v>1.5333333333333301</v>
      </c>
      <c r="CS54" s="33">
        <v>21.71111111111113</v>
      </c>
      <c r="CT54" s="33">
        <v>0</v>
      </c>
      <c r="CU54" s="33">
        <v>0</v>
      </c>
      <c r="CV54" s="32">
        <v>0</v>
      </c>
      <c r="CW54" s="32">
        <v>0</v>
      </c>
      <c r="CX54" s="32">
        <v>0</v>
      </c>
      <c r="CY54" s="32">
        <v>0</v>
      </c>
      <c r="CZ54" s="32">
        <v>0</v>
      </c>
      <c r="DA54" s="32">
        <v>0</v>
      </c>
      <c r="DB54" s="32">
        <v>0</v>
      </c>
      <c r="DC54" s="32">
        <v>0</v>
      </c>
      <c r="DD54" s="32">
        <v>11</v>
      </c>
      <c r="DE54" s="32">
        <v>16</v>
      </c>
      <c r="DF54" s="32">
        <v>20</v>
      </c>
      <c r="DG54" s="32">
        <v>12</v>
      </c>
      <c r="DH54" s="32">
        <v>27</v>
      </c>
      <c r="DI54" s="32">
        <v>7</v>
      </c>
      <c r="DJ54" s="32">
        <v>0</v>
      </c>
      <c r="DK54" s="32">
        <v>27</v>
      </c>
      <c r="DL54" s="32">
        <v>66</v>
      </c>
      <c r="DM54" s="32">
        <v>27</v>
      </c>
      <c r="DN54" s="32">
        <v>93</v>
      </c>
      <c r="DO54" s="32">
        <v>93</v>
      </c>
      <c r="DP54" s="32">
        <v>0</v>
      </c>
      <c r="DQ54" s="32">
        <v>49</v>
      </c>
      <c r="DR54" s="32">
        <v>25</v>
      </c>
      <c r="DS54" s="32">
        <v>0</v>
      </c>
      <c r="DT54" s="32">
        <v>25</v>
      </c>
      <c r="DU54" s="32">
        <v>16</v>
      </c>
      <c r="DV54" s="33">
        <v>17.053999999999998</v>
      </c>
      <c r="DW54" s="33">
        <v>15.654</v>
      </c>
      <c r="DX54" s="33">
        <v>0</v>
      </c>
      <c r="DY54" s="33">
        <v>14.058000000000003</v>
      </c>
      <c r="DZ54" s="33">
        <v>0</v>
      </c>
      <c r="EA54" s="33">
        <v>17.471000000000004</v>
      </c>
      <c r="EB54" s="34">
        <v>8.6629746835443056E-2</v>
      </c>
      <c r="EC54" s="32"/>
      <c r="ED54" s="32">
        <v>0</v>
      </c>
      <c r="EE54" s="32">
        <v>93</v>
      </c>
      <c r="EF54" s="32">
        <v>0</v>
      </c>
      <c r="EG54" s="32">
        <v>29</v>
      </c>
      <c r="EH54" s="32">
        <v>64</v>
      </c>
      <c r="EI54" s="32">
        <v>93</v>
      </c>
      <c r="EJ54" s="32">
        <v>0</v>
      </c>
      <c r="EK54" s="32">
        <v>25</v>
      </c>
      <c r="EL54" s="32">
        <v>25</v>
      </c>
      <c r="EM54" s="32">
        <v>25</v>
      </c>
      <c r="EN54" s="32">
        <v>0</v>
      </c>
      <c r="EO54" s="32">
        <v>3</v>
      </c>
      <c r="EP54" s="33">
        <v>2.39</v>
      </c>
      <c r="EQ54" s="33">
        <v>0</v>
      </c>
      <c r="ER54" s="33">
        <v>1.5</v>
      </c>
      <c r="ES54" s="33">
        <v>0</v>
      </c>
      <c r="ET54" s="33">
        <v>0.26300000000000001</v>
      </c>
      <c r="EU54" s="33">
        <v>4.1530000000000005</v>
      </c>
    </row>
    <row r="55" spans="1:151" ht="55.2" x14ac:dyDescent="0.3">
      <c r="A55" s="25">
        <v>89</v>
      </c>
      <c r="B55" s="26" t="s">
        <v>284</v>
      </c>
      <c r="C55" s="27" t="s">
        <v>49</v>
      </c>
      <c r="D55" s="27" t="s">
        <v>272</v>
      </c>
      <c r="E55" s="26" t="s">
        <v>504</v>
      </c>
      <c r="F55" s="26" t="s">
        <v>504</v>
      </c>
      <c r="G55" s="28">
        <v>39.299999999999997</v>
      </c>
      <c r="H55" s="28">
        <v>12.544444444444444</v>
      </c>
      <c r="I55" s="29">
        <v>42</v>
      </c>
      <c r="J55" s="29">
        <v>241</v>
      </c>
      <c r="K55" s="29">
        <v>52</v>
      </c>
      <c r="L55" s="29">
        <v>0</v>
      </c>
      <c r="M55" s="29">
        <v>335</v>
      </c>
      <c r="N55" s="29">
        <v>293</v>
      </c>
      <c r="O55" s="29">
        <v>335</v>
      </c>
      <c r="P55" s="29">
        <v>11</v>
      </c>
      <c r="Q55" s="27">
        <v>41.466666666666669</v>
      </c>
      <c r="R55" s="27">
        <v>33.538888888888891</v>
      </c>
      <c r="S55" s="27">
        <v>39.166666666666664</v>
      </c>
      <c r="T55" s="27">
        <v>39.994444444444447</v>
      </c>
      <c r="U55" s="27">
        <v>41.511111111111113</v>
      </c>
      <c r="V55" s="27">
        <v>43.15</v>
      </c>
      <c r="W55" s="27">
        <v>34</v>
      </c>
      <c r="X55" s="27">
        <v>26.716666666666665</v>
      </c>
      <c r="Y55" s="27">
        <v>23.233333333333334</v>
      </c>
      <c r="Z55" s="27">
        <v>0</v>
      </c>
      <c r="AA55" s="27">
        <v>0</v>
      </c>
      <c r="AB55" s="27">
        <v>0</v>
      </c>
      <c r="AC55" s="27">
        <v>0</v>
      </c>
      <c r="AD55" s="27">
        <v>231.36111111111111</v>
      </c>
      <c r="AE55" s="27">
        <v>49.95</v>
      </c>
      <c r="AF55" s="27">
        <v>0</v>
      </c>
      <c r="AG55" s="27">
        <v>322.77777777777777</v>
      </c>
      <c r="AH55" s="27">
        <v>281.31111111111113</v>
      </c>
      <c r="AI55" s="27">
        <v>322.77777777777777</v>
      </c>
      <c r="AJ55" s="28">
        <v>55.955555555555556</v>
      </c>
      <c r="AK55" s="28">
        <v>9.6888888888888882</v>
      </c>
      <c r="AL55" s="28">
        <v>65.644444444444446</v>
      </c>
      <c r="AM55" s="29">
        <v>39</v>
      </c>
      <c r="AN55" s="35">
        <v>41</v>
      </c>
      <c r="AO55" s="27">
        <v>38</v>
      </c>
      <c r="AP55" s="27">
        <v>43</v>
      </c>
      <c r="AQ55" s="27">
        <v>42</v>
      </c>
      <c r="AR55" s="27">
        <v>39</v>
      </c>
      <c r="AS55" s="27">
        <v>38</v>
      </c>
      <c r="AT55" s="27">
        <v>32</v>
      </c>
      <c r="AU55" s="27">
        <v>22</v>
      </c>
      <c r="AV55" s="27">
        <v>0</v>
      </c>
      <c r="AW55" s="27">
        <v>0</v>
      </c>
      <c r="AX55" s="27">
        <v>0</v>
      </c>
      <c r="AY55" s="27">
        <v>0</v>
      </c>
      <c r="AZ55" s="27">
        <v>241</v>
      </c>
      <c r="BA55" s="27">
        <v>54</v>
      </c>
      <c r="BB55" s="27">
        <v>0</v>
      </c>
      <c r="BC55" s="27">
        <v>334</v>
      </c>
      <c r="BD55" s="27">
        <v>295</v>
      </c>
      <c r="BE55" s="27">
        <v>334</v>
      </c>
      <c r="BF55" s="27">
        <v>37</v>
      </c>
      <c r="BG55" s="27">
        <v>2</v>
      </c>
      <c r="BH55" s="27">
        <v>0</v>
      </c>
      <c r="BI55" s="27">
        <v>7</v>
      </c>
      <c r="BJ55" s="27">
        <v>61</v>
      </c>
      <c r="BK55" s="29">
        <v>9</v>
      </c>
      <c r="BL55" s="29">
        <v>70</v>
      </c>
      <c r="BM55" s="29">
        <v>0</v>
      </c>
      <c r="BN55" s="30">
        <v>8.6574074074074137E-2</v>
      </c>
      <c r="BO55" s="31">
        <v>22.033000000000001</v>
      </c>
      <c r="BP55" s="31">
        <v>21.033000000000001</v>
      </c>
      <c r="BQ55" s="31">
        <v>20.486000000000001</v>
      </c>
      <c r="BR55" s="31">
        <v>26.033000000000001</v>
      </c>
      <c r="BS55" s="32">
        <v>0</v>
      </c>
      <c r="BT55" s="32">
        <v>0</v>
      </c>
      <c r="BU55" s="33">
        <v>0</v>
      </c>
      <c r="BV55" s="33">
        <v>1</v>
      </c>
      <c r="BW55" s="33">
        <v>36.677776999999999</v>
      </c>
      <c r="BX55" s="33">
        <v>37.677777777777777</v>
      </c>
      <c r="BY55" s="33">
        <v>40.105555555555554</v>
      </c>
      <c r="BZ55" s="33">
        <v>36.966666666666669</v>
      </c>
      <c r="CA55" s="33">
        <v>42.777777777777779</v>
      </c>
      <c r="CB55" s="33">
        <v>39.799999999999997</v>
      </c>
      <c r="CC55" s="33">
        <v>38.516666666666666</v>
      </c>
      <c r="CD55" s="33">
        <v>38.605555555555554</v>
      </c>
      <c r="CE55" s="33">
        <v>29.972222222222221</v>
      </c>
      <c r="CF55" s="33">
        <v>22.155555555555555</v>
      </c>
      <c r="CG55" s="33">
        <v>0</v>
      </c>
      <c r="CH55" s="33">
        <v>0</v>
      </c>
      <c r="CI55" s="33">
        <v>0</v>
      </c>
      <c r="CJ55" s="33">
        <v>0</v>
      </c>
      <c r="CK55" s="33">
        <v>236.77222222222218</v>
      </c>
      <c r="CL55" s="33">
        <v>52.12777777777778</v>
      </c>
      <c r="CM55" s="33">
        <v>0</v>
      </c>
      <c r="CN55" s="33">
        <v>326.57777777777778</v>
      </c>
      <c r="CO55" s="33">
        <v>288.89999999999998</v>
      </c>
      <c r="CP55" s="33">
        <v>326.57777777777778</v>
      </c>
      <c r="CQ55" s="33">
        <v>76.0833333333333</v>
      </c>
      <c r="CR55" s="33">
        <v>1.6666666666666701E-2</v>
      </c>
      <c r="CS55" s="33">
        <v>76.099999999999966</v>
      </c>
      <c r="CT55" s="33">
        <v>0</v>
      </c>
      <c r="CU55" s="33">
        <v>42</v>
      </c>
      <c r="CV55" s="32">
        <v>0</v>
      </c>
      <c r="CW55" s="32">
        <v>42</v>
      </c>
      <c r="CX55" s="32">
        <v>34</v>
      </c>
      <c r="CY55" s="32">
        <v>42</v>
      </c>
      <c r="CZ55" s="32">
        <v>37</v>
      </c>
      <c r="DA55" s="32">
        <v>42</v>
      </c>
      <c r="DB55" s="32">
        <v>43</v>
      </c>
      <c r="DC55" s="32">
        <v>38</v>
      </c>
      <c r="DD55" s="32">
        <v>24</v>
      </c>
      <c r="DE55" s="32">
        <v>28</v>
      </c>
      <c r="DF55" s="32">
        <v>0</v>
      </c>
      <c r="DG55" s="32">
        <v>0</v>
      </c>
      <c r="DH55" s="32">
        <v>0</v>
      </c>
      <c r="DI55" s="32">
        <v>0</v>
      </c>
      <c r="DJ55" s="32">
        <v>236</v>
      </c>
      <c r="DK55" s="32">
        <v>52</v>
      </c>
      <c r="DL55" s="32">
        <v>0</v>
      </c>
      <c r="DM55" s="32">
        <v>330</v>
      </c>
      <c r="DN55" s="32">
        <v>288</v>
      </c>
      <c r="DO55" s="32">
        <v>330</v>
      </c>
      <c r="DP55" s="32">
        <v>0</v>
      </c>
      <c r="DQ55" s="32">
        <v>6</v>
      </c>
      <c r="DR55" s="32">
        <v>81</v>
      </c>
      <c r="DS55" s="32">
        <v>0</v>
      </c>
      <c r="DT55" s="32">
        <v>81</v>
      </c>
      <c r="DU55" s="32">
        <v>0</v>
      </c>
      <c r="DV55" s="33">
        <v>23.033000000000001</v>
      </c>
      <c r="DW55" s="33">
        <v>22.033000000000001</v>
      </c>
      <c r="DX55" s="33">
        <v>14.006</v>
      </c>
      <c r="DY55" s="33">
        <v>5.48</v>
      </c>
      <c r="DZ55" s="33">
        <v>0</v>
      </c>
      <c r="EA55" s="33">
        <v>24.033000000000001</v>
      </c>
      <c r="EB55" s="34">
        <v>7.6369863013698636E-2</v>
      </c>
      <c r="EC55" s="32"/>
      <c r="ED55" s="32">
        <v>41</v>
      </c>
      <c r="EE55" s="32">
        <v>287</v>
      </c>
      <c r="EF55" s="32">
        <v>236</v>
      </c>
      <c r="EG55" s="32">
        <v>51</v>
      </c>
      <c r="EH55" s="32">
        <v>0</v>
      </c>
      <c r="EI55" s="32">
        <v>328</v>
      </c>
      <c r="EJ55" s="32">
        <v>0</v>
      </c>
      <c r="EK55" s="32">
        <v>84</v>
      </c>
      <c r="EL55" s="32">
        <v>84</v>
      </c>
      <c r="EM55" s="32">
        <v>84</v>
      </c>
      <c r="EN55" s="32">
        <v>0</v>
      </c>
      <c r="EO55" s="32">
        <v>7</v>
      </c>
      <c r="EP55" s="33">
        <v>4.13</v>
      </c>
      <c r="EQ55" s="33">
        <v>0</v>
      </c>
      <c r="ER55" s="33">
        <v>2</v>
      </c>
      <c r="ES55" s="33">
        <v>0</v>
      </c>
      <c r="ET55" s="33">
        <v>1.23</v>
      </c>
      <c r="EU55" s="33">
        <v>7.3599999999999994</v>
      </c>
    </row>
    <row r="56" spans="1:151" ht="27.6" x14ac:dyDescent="0.3">
      <c r="A56" s="25">
        <v>91</v>
      </c>
      <c r="B56" s="26" t="s">
        <v>286</v>
      </c>
      <c r="C56" s="27" t="s">
        <v>252</v>
      </c>
      <c r="D56" s="27" t="s">
        <v>272</v>
      </c>
      <c r="E56" s="26" t="s">
        <v>504</v>
      </c>
      <c r="F56" s="26" t="s">
        <v>504</v>
      </c>
      <c r="G56" s="28">
        <v>17.350000000000001</v>
      </c>
      <c r="H56" s="28">
        <v>0</v>
      </c>
      <c r="I56" s="29">
        <v>0</v>
      </c>
      <c r="J56" s="29">
        <v>0</v>
      </c>
      <c r="K56" s="29">
        <v>0</v>
      </c>
      <c r="L56" s="29">
        <v>274</v>
      </c>
      <c r="M56" s="29">
        <v>274</v>
      </c>
      <c r="N56" s="29">
        <v>274</v>
      </c>
      <c r="O56" s="29">
        <v>0</v>
      </c>
      <c r="P56" s="29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53</v>
      </c>
      <c r="AA56" s="27">
        <v>88.25555555555556</v>
      </c>
      <c r="AB56" s="27">
        <v>62.3</v>
      </c>
      <c r="AC56" s="27">
        <v>68.327777777777783</v>
      </c>
      <c r="AD56" s="27">
        <v>0</v>
      </c>
      <c r="AE56" s="27">
        <v>0</v>
      </c>
      <c r="AF56" s="27">
        <v>271.88333333333333</v>
      </c>
      <c r="AG56" s="27">
        <v>0</v>
      </c>
      <c r="AH56" s="27">
        <v>271.88333333333333</v>
      </c>
      <c r="AI56" s="27">
        <v>271.88333333333333</v>
      </c>
      <c r="AJ56" s="28">
        <v>30.633333333333333</v>
      </c>
      <c r="AK56" s="28">
        <v>0</v>
      </c>
      <c r="AL56" s="28">
        <v>30.633333333333333</v>
      </c>
      <c r="AM56" s="29">
        <v>0</v>
      </c>
      <c r="AN56" s="35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27">
        <v>44</v>
      </c>
      <c r="AW56" s="27">
        <v>79</v>
      </c>
      <c r="AX56" s="27">
        <v>92</v>
      </c>
      <c r="AY56" s="27">
        <v>65</v>
      </c>
      <c r="AZ56" s="27">
        <v>0</v>
      </c>
      <c r="BA56" s="27">
        <v>0</v>
      </c>
      <c r="BB56" s="27">
        <v>280</v>
      </c>
      <c r="BC56" s="27">
        <v>0</v>
      </c>
      <c r="BD56" s="27">
        <v>280</v>
      </c>
      <c r="BE56" s="27">
        <v>280</v>
      </c>
      <c r="BF56" s="27">
        <v>0</v>
      </c>
      <c r="BG56" s="27">
        <v>0</v>
      </c>
      <c r="BH56" s="27">
        <v>0</v>
      </c>
      <c r="BI56" s="27">
        <v>76</v>
      </c>
      <c r="BJ56" s="27">
        <v>23</v>
      </c>
      <c r="BK56" s="29">
        <v>0</v>
      </c>
      <c r="BL56" s="29">
        <v>23</v>
      </c>
      <c r="BM56" s="29">
        <v>1</v>
      </c>
      <c r="BN56" s="30">
        <v>8.0513698630136965E-2</v>
      </c>
      <c r="BO56" s="31">
        <v>20.75</v>
      </c>
      <c r="BP56" s="31">
        <v>19.75</v>
      </c>
      <c r="BQ56" s="31">
        <v>19.899999999999999</v>
      </c>
      <c r="BR56" s="31">
        <v>20.9</v>
      </c>
      <c r="BS56" s="32">
        <v>0</v>
      </c>
      <c r="BT56" s="32">
        <v>0</v>
      </c>
      <c r="BU56" s="33">
        <v>0</v>
      </c>
      <c r="BV56" s="33">
        <v>0</v>
      </c>
      <c r="BW56" s="33">
        <v>0</v>
      </c>
      <c r="BX56" s="33">
        <v>0</v>
      </c>
      <c r="BY56" s="33">
        <v>0</v>
      </c>
      <c r="BZ56" s="33">
        <v>0</v>
      </c>
      <c r="CA56" s="33">
        <v>0</v>
      </c>
      <c r="CB56" s="33">
        <v>0</v>
      </c>
      <c r="CC56" s="33">
        <v>0</v>
      </c>
      <c r="CD56" s="33">
        <v>0</v>
      </c>
      <c r="CE56" s="33">
        <v>0</v>
      </c>
      <c r="CF56" s="33">
        <v>0</v>
      </c>
      <c r="CG56" s="33">
        <v>41.194444444444443</v>
      </c>
      <c r="CH56" s="33">
        <v>71.394444444444446</v>
      </c>
      <c r="CI56" s="33">
        <v>89.9</v>
      </c>
      <c r="CJ56" s="33">
        <v>60.383333333333333</v>
      </c>
      <c r="CK56" s="33">
        <v>0</v>
      </c>
      <c r="CL56" s="33">
        <v>0</v>
      </c>
      <c r="CM56" s="33">
        <v>262.87222222222221</v>
      </c>
      <c r="CN56" s="33">
        <v>0</v>
      </c>
      <c r="CO56" s="33">
        <v>262.87222222222221</v>
      </c>
      <c r="CP56" s="33">
        <v>262.87222222222221</v>
      </c>
      <c r="CQ56" s="33">
        <v>23.1666666666667</v>
      </c>
      <c r="CR56" s="33">
        <v>0</v>
      </c>
      <c r="CS56" s="33">
        <v>23.1666666666667</v>
      </c>
      <c r="CT56" s="33">
        <v>0</v>
      </c>
      <c r="CU56" s="33">
        <v>0</v>
      </c>
      <c r="CV56" s="32">
        <v>0</v>
      </c>
      <c r="CW56" s="32">
        <v>0</v>
      </c>
      <c r="CX56" s="32">
        <v>0</v>
      </c>
      <c r="CY56" s="32">
        <v>0</v>
      </c>
      <c r="CZ56" s="32">
        <v>0</v>
      </c>
      <c r="DA56" s="32">
        <v>0</v>
      </c>
      <c r="DB56" s="32">
        <v>0</v>
      </c>
      <c r="DC56" s="32">
        <v>0</v>
      </c>
      <c r="DD56" s="32">
        <v>0</v>
      </c>
      <c r="DE56" s="32">
        <v>41</v>
      </c>
      <c r="DF56" s="32">
        <v>60</v>
      </c>
      <c r="DG56" s="32">
        <v>59</v>
      </c>
      <c r="DH56" s="32">
        <v>69</v>
      </c>
      <c r="DI56" s="32">
        <v>82</v>
      </c>
      <c r="DJ56" s="32">
        <v>0</v>
      </c>
      <c r="DK56" s="32">
        <v>41</v>
      </c>
      <c r="DL56" s="32">
        <v>270</v>
      </c>
      <c r="DM56" s="32">
        <v>41</v>
      </c>
      <c r="DN56" s="32">
        <v>311</v>
      </c>
      <c r="DO56" s="32">
        <v>311</v>
      </c>
      <c r="DP56" s="32">
        <v>0</v>
      </c>
      <c r="DQ56" s="32">
        <v>82</v>
      </c>
      <c r="DR56" s="32">
        <v>24</v>
      </c>
      <c r="DS56" s="32">
        <v>0</v>
      </c>
      <c r="DT56" s="32">
        <v>24</v>
      </c>
      <c r="DU56" s="32">
        <v>4</v>
      </c>
      <c r="DV56" s="33">
        <v>20.25</v>
      </c>
      <c r="DW56" s="33">
        <v>19.25</v>
      </c>
      <c r="DX56" s="33">
        <v>0</v>
      </c>
      <c r="DY56" s="33">
        <v>17.25</v>
      </c>
      <c r="DZ56" s="33">
        <v>0</v>
      </c>
      <c r="EA56" s="33">
        <v>20.399999999999999</v>
      </c>
      <c r="EB56" s="34">
        <v>7.4615921787709427E-2</v>
      </c>
      <c r="EC56" s="32"/>
      <c r="ED56" s="32">
        <v>0</v>
      </c>
      <c r="EE56" s="32">
        <v>311</v>
      </c>
      <c r="EF56" s="32">
        <v>0</v>
      </c>
      <c r="EG56" s="32">
        <v>48</v>
      </c>
      <c r="EH56" s="32">
        <v>263</v>
      </c>
      <c r="EI56" s="32">
        <v>311</v>
      </c>
      <c r="EJ56" s="32">
        <v>0</v>
      </c>
      <c r="EK56" s="32">
        <v>31</v>
      </c>
      <c r="EL56" s="32">
        <v>31</v>
      </c>
      <c r="EM56" s="32">
        <v>31</v>
      </c>
      <c r="EN56" s="32">
        <v>0</v>
      </c>
      <c r="EO56" s="32">
        <v>0</v>
      </c>
      <c r="EP56" s="33">
        <v>0.5</v>
      </c>
      <c r="EQ56" s="33">
        <v>0</v>
      </c>
      <c r="ER56" s="33">
        <v>1.5</v>
      </c>
      <c r="ES56" s="33">
        <v>0</v>
      </c>
      <c r="ET56" s="33">
        <v>1.5</v>
      </c>
      <c r="EU56" s="33">
        <v>3.5</v>
      </c>
    </row>
    <row r="57" spans="1:151" ht="27.6" x14ac:dyDescent="0.3">
      <c r="A57" s="25">
        <v>92</v>
      </c>
      <c r="B57" s="26" t="s">
        <v>287</v>
      </c>
      <c r="C57" s="27" t="s">
        <v>50</v>
      </c>
      <c r="D57" s="27" t="s">
        <v>272</v>
      </c>
      <c r="E57" s="26" t="s">
        <v>504</v>
      </c>
      <c r="F57" s="26" t="s">
        <v>504</v>
      </c>
      <c r="G57" s="28">
        <v>8.3944444444444439</v>
      </c>
      <c r="H57" s="28">
        <v>6.6666666666666666E-2</v>
      </c>
      <c r="I57" s="29">
        <v>0</v>
      </c>
      <c r="J57" s="29">
        <v>0</v>
      </c>
      <c r="K57" s="29">
        <v>0</v>
      </c>
      <c r="L57" s="29">
        <v>75</v>
      </c>
      <c r="M57" s="29">
        <v>75</v>
      </c>
      <c r="N57" s="29">
        <v>75</v>
      </c>
      <c r="O57" s="29">
        <v>0</v>
      </c>
      <c r="P57" s="29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19.922222222222221</v>
      </c>
      <c r="AA57" s="27">
        <v>20</v>
      </c>
      <c r="AB57" s="27">
        <v>16.81111111111111</v>
      </c>
      <c r="AC57" s="27">
        <v>19.733333333333334</v>
      </c>
      <c r="AD57" s="27">
        <v>0</v>
      </c>
      <c r="AE57" s="27">
        <v>0</v>
      </c>
      <c r="AF57" s="27">
        <v>76.466666666666669</v>
      </c>
      <c r="AG57" s="27">
        <v>0</v>
      </c>
      <c r="AH57" s="27">
        <v>76.466666666666669</v>
      </c>
      <c r="AI57" s="27">
        <v>76.466666666666669</v>
      </c>
      <c r="AJ57" s="28">
        <v>11.305555555555555</v>
      </c>
      <c r="AK57" s="28">
        <v>0</v>
      </c>
      <c r="AL57" s="28">
        <v>11.305555555555555</v>
      </c>
      <c r="AM57" s="29">
        <v>0</v>
      </c>
      <c r="AN57" s="35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20</v>
      </c>
      <c r="AW57" s="27">
        <v>21</v>
      </c>
      <c r="AX57" s="27">
        <v>21</v>
      </c>
      <c r="AY57" s="27">
        <v>17</v>
      </c>
      <c r="AZ57" s="27">
        <v>0</v>
      </c>
      <c r="BA57" s="27">
        <v>0</v>
      </c>
      <c r="BB57" s="27">
        <v>79</v>
      </c>
      <c r="BC57" s="27">
        <v>0</v>
      </c>
      <c r="BD57" s="27">
        <v>79</v>
      </c>
      <c r="BE57" s="27">
        <v>79</v>
      </c>
      <c r="BF57" s="27">
        <v>0</v>
      </c>
      <c r="BG57" s="27">
        <v>0</v>
      </c>
      <c r="BH57" s="27">
        <v>0</v>
      </c>
      <c r="BI57" s="27">
        <v>33</v>
      </c>
      <c r="BJ57" s="27">
        <v>14</v>
      </c>
      <c r="BK57" s="29">
        <v>0</v>
      </c>
      <c r="BL57" s="29">
        <v>14</v>
      </c>
      <c r="BM57" s="29">
        <v>0</v>
      </c>
      <c r="BN57" s="30">
        <v>8.4308821026526259E-2</v>
      </c>
      <c r="BO57" s="31">
        <v>11.923</v>
      </c>
      <c r="BP57" s="31">
        <v>10.923</v>
      </c>
      <c r="BQ57" s="31">
        <v>10.923</v>
      </c>
      <c r="BR57" s="31">
        <v>11.923</v>
      </c>
      <c r="BS57" s="32">
        <v>0</v>
      </c>
      <c r="BT57" s="32">
        <v>0</v>
      </c>
      <c r="BU57" s="33">
        <v>0</v>
      </c>
      <c r="BV57" s="33">
        <v>0</v>
      </c>
      <c r="BW57" s="33">
        <v>0</v>
      </c>
      <c r="BX57" s="33">
        <v>0</v>
      </c>
      <c r="BY57" s="33">
        <v>0</v>
      </c>
      <c r="BZ57" s="33">
        <v>0</v>
      </c>
      <c r="CA57" s="33">
        <v>0</v>
      </c>
      <c r="CB57" s="33">
        <v>0</v>
      </c>
      <c r="CC57" s="33">
        <v>0</v>
      </c>
      <c r="CD57" s="33">
        <v>0</v>
      </c>
      <c r="CE57" s="33">
        <v>0</v>
      </c>
      <c r="CF57" s="33">
        <v>0</v>
      </c>
      <c r="CG57" s="33">
        <v>20.666666666666668</v>
      </c>
      <c r="CH57" s="33">
        <v>20.666666666666668</v>
      </c>
      <c r="CI57" s="33">
        <v>21.05</v>
      </c>
      <c r="CJ57" s="33">
        <v>17.511111111111113</v>
      </c>
      <c r="CK57" s="33">
        <v>0</v>
      </c>
      <c r="CL57" s="33">
        <v>0</v>
      </c>
      <c r="CM57" s="33">
        <v>79.894444444444446</v>
      </c>
      <c r="CN57" s="33">
        <v>0</v>
      </c>
      <c r="CO57" s="33">
        <v>79.894444444444446</v>
      </c>
      <c r="CP57" s="33">
        <v>79.894444444444446</v>
      </c>
      <c r="CQ57" s="33">
        <v>14.744444444444399</v>
      </c>
      <c r="CR57" s="33">
        <v>0</v>
      </c>
      <c r="CS57" s="33">
        <v>14.744444444444399</v>
      </c>
      <c r="CT57" s="33">
        <v>0</v>
      </c>
      <c r="CU57" s="33">
        <v>0</v>
      </c>
      <c r="CV57" s="32">
        <v>0</v>
      </c>
      <c r="CW57" s="32">
        <v>0</v>
      </c>
      <c r="CX57" s="32">
        <v>0</v>
      </c>
      <c r="CY57" s="32">
        <v>0</v>
      </c>
      <c r="CZ57" s="32">
        <v>0</v>
      </c>
      <c r="DA57" s="32">
        <v>0</v>
      </c>
      <c r="DB57" s="32">
        <v>0</v>
      </c>
      <c r="DC57" s="32">
        <v>0</v>
      </c>
      <c r="DD57" s="32">
        <v>0</v>
      </c>
      <c r="DE57" s="32">
        <v>0</v>
      </c>
      <c r="DF57" s="32">
        <v>22</v>
      </c>
      <c r="DG57" s="32">
        <v>21</v>
      </c>
      <c r="DH57" s="32">
        <v>20</v>
      </c>
      <c r="DI57" s="32">
        <v>19</v>
      </c>
      <c r="DJ57" s="32">
        <v>0</v>
      </c>
      <c r="DK57" s="32">
        <v>0</v>
      </c>
      <c r="DL57" s="32">
        <v>82</v>
      </c>
      <c r="DM57" s="32">
        <v>0</v>
      </c>
      <c r="DN57" s="32">
        <v>82</v>
      </c>
      <c r="DO57" s="32">
        <v>82</v>
      </c>
      <c r="DP57" s="32">
        <v>0</v>
      </c>
      <c r="DQ57" s="32">
        <v>31</v>
      </c>
      <c r="DR57" s="32">
        <v>18</v>
      </c>
      <c r="DS57" s="32">
        <v>0</v>
      </c>
      <c r="DT57" s="32">
        <v>18</v>
      </c>
      <c r="DU57" s="32">
        <v>0</v>
      </c>
      <c r="DV57" s="33">
        <v>11.423</v>
      </c>
      <c r="DW57" s="33">
        <v>10.423</v>
      </c>
      <c r="DX57" s="33">
        <v>0</v>
      </c>
      <c r="DY57" s="33">
        <v>8.423</v>
      </c>
      <c r="DZ57" s="33">
        <v>0</v>
      </c>
      <c r="EA57" s="33">
        <v>12.423</v>
      </c>
      <c r="EB57" s="34">
        <v>8.7500000000000022E-2</v>
      </c>
      <c r="EC57" s="32"/>
      <c r="ED57" s="32">
        <v>0</v>
      </c>
      <c r="EE57" s="32">
        <v>82</v>
      </c>
      <c r="EF57" s="32">
        <v>0</v>
      </c>
      <c r="EG57" s="32">
        <v>0</v>
      </c>
      <c r="EH57" s="32">
        <v>82</v>
      </c>
      <c r="EI57" s="32">
        <v>82</v>
      </c>
      <c r="EJ57" s="32">
        <v>0</v>
      </c>
      <c r="EK57" s="32">
        <v>18</v>
      </c>
      <c r="EL57" s="32">
        <v>18</v>
      </c>
      <c r="EM57" s="32">
        <v>18</v>
      </c>
      <c r="EN57" s="32">
        <v>0</v>
      </c>
      <c r="EO57" s="32">
        <v>0</v>
      </c>
      <c r="EP57" s="33">
        <v>3</v>
      </c>
      <c r="EQ57" s="33">
        <v>0</v>
      </c>
      <c r="ER57" s="33">
        <v>1</v>
      </c>
      <c r="ES57" s="33">
        <v>6</v>
      </c>
      <c r="ET57" s="33">
        <v>3</v>
      </c>
      <c r="EU57" s="33">
        <v>13</v>
      </c>
    </row>
    <row r="58" spans="1:151" ht="55.2" x14ac:dyDescent="0.3">
      <c r="A58" s="25">
        <v>93</v>
      </c>
      <c r="B58" s="26" t="s">
        <v>289</v>
      </c>
      <c r="C58" s="27" t="s">
        <v>693</v>
      </c>
      <c r="D58" s="27" t="s">
        <v>272</v>
      </c>
      <c r="E58" s="26" t="s">
        <v>504</v>
      </c>
      <c r="F58" s="26" t="s">
        <v>504</v>
      </c>
      <c r="G58" s="28">
        <v>35.133333333333333</v>
      </c>
      <c r="H58" s="28">
        <v>7.6055555555555552</v>
      </c>
      <c r="I58" s="29">
        <v>22</v>
      </c>
      <c r="J58" s="29">
        <v>147</v>
      </c>
      <c r="K58" s="29">
        <v>15</v>
      </c>
      <c r="L58" s="29">
        <v>0</v>
      </c>
      <c r="M58" s="29">
        <v>184</v>
      </c>
      <c r="N58" s="29">
        <v>162</v>
      </c>
      <c r="O58" s="29">
        <v>184</v>
      </c>
      <c r="P58" s="29">
        <v>11</v>
      </c>
      <c r="Q58" s="27">
        <v>22.488888888888887</v>
      </c>
      <c r="R58" s="27">
        <v>23.716666666666665</v>
      </c>
      <c r="S58" s="27">
        <v>22.083333333333332</v>
      </c>
      <c r="T58" s="27">
        <v>24.266666666666666</v>
      </c>
      <c r="U58" s="27">
        <v>22.255555555555556</v>
      </c>
      <c r="V58" s="27">
        <v>26.68888888888889</v>
      </c>
      <c r="W58" s="27">
        <v>22.95</v>
      </c>
      <c r="X58" s="27">
        <v>6.2722222222222221</v>
      </c>
      <c r="Y58" s="27">
        <v>6.5</v>
      </c>
      <c r="Z58" s="27">
        <v>0</v>
      </c>
      <c r="AA58" s="27">
        <v>0</v>
      </c>
      <c r="AB58" s="27">
        <v>0</v>
      </c>
      <c r="AC58" s="27">
        <v>0</v>
      </c>
      <c r="AD58" s="27">
        <v>141.96111111111111</v>
      </c>
      <c r="AE58" s="27">
        <v>12.772222222222222</v>
      </c>
      <c r="AF58" s="27">
        <v>0</v>
      </c>
      <c r="AG58" s="27">
        <v>177.2222222222222</v>
      </c>
      <c r="AH58" s="27">
        <v>154.73333333333332</v>
      </c>
      <c r="AI58" s="27">
        <v>177.2222222222222</v>
      </c>
      <c r="AJ58" s="28">
        <v>40.033333333333331</v>
      </c>
      <c r="AK58" s="28">
        <v>4.4000000000000004</v>
      </c>
      <c r="AL58" s="28">
        <v>44.43333333333333</v>
      </c>
      <c r="AM58" s="29">
        <v>114</v>
      </c>
      <c r="AN58" s="35">
        <v>121</v>
      </c>
      <c r="AO58" s="27">
        <v>123</v>
      </c>
      <c r="AP58" s="27">
        <v>126</v>
      </c>
      <c r="AQ58" s="27">
        <v>120</v>
      </c>
      <c r="AR58" s="27">
        <v>126</v>
      </c>
      <c r="AS58" s="27">
        <v>99</v>
      </c>
      <c r="AT58" s="27">
        <v>79</v>
      </c>
      <c r="AU58" s="27">
        <v>24</v>
      </c>
      <c r="AV58" s="27">
        <v>0</v>
      </c>
      <c r="AW58" s="27">
        <v>0</v>
      </c>
      <c r="AX58" s="27">
        <v>0</v>
      </c>
      <c r="AY58" s="27">
        <v>0</v>
      </c>
      <c r="AZ58" s="27">
        <v>715</v>
      </c>
      <c r="BA58" s="27">
        <v>103</v>
      </c>
      <c r="BB58" s="27">
        <v>0</v>
      </c>
      <c r="BC58" s="27">
        <v>932</v>
      </c>
      <c r="BD58" s="27">
        <v>818</v>
      </c>
      <c r="BE58" s="27">
        <v>932</v>
      </c>
      <c r="BF58" s="27">
        <v>81</v>
      </c>
      <c r="BG58" s="27">
        <v>33</v>
      </c>
      <c r="BH58" s="27">
        <v>0</v>
      </c>
      <c r="BI58" s="27">
        <v>213</v>
      </c>
      <c r="BJ58" s="27">
        <v>114</v>
      </c>
      <c r="BK58" s="29">
        <v>10</v>
      </c>
      <c r="BL58" s="29">
        <v>124</v>
      </c>
      <c r="BM58" s="29">
        <v>0</v>
      </c>
      <c r="BN58" s="30">
        <v>6.5619497358732182E-2</v>
      </c>
      <c r="BO58" s="31">
        <v>55.138000000000005</v>
      </c>
      <c r="BP58" s="31">
        <v>52.138000000000005</v>
      </c>
      <c r="BQ58" s="31">
        <v>52.138000000000005</v>
      </c>
      <c r="BR58" s="31">
        <v>59.623999999999988</v>
      </c>
      <c r="BS58" s="32">
        <v>0</v>
      </c>
      <c r="BT58" s="32">
        <v>0</v>
      </c>
      <c r="BU58" s="33">
        <v>0</v>
      </c>
      <c r="BV58" s="33">
        <v>34.216665999999996</v>
      </c>
      <c r="BW58" s="33">
        <v>77.994444000000001</v>
      </c>
      <c r="BX58" s="33">
        <v>112.21111111111111</v>
      </c>
      <c r="BY58" s="33">
        <v>118.55</v>
      </c>
      <c r="BZ58" s="33">
        <v>122.43333333333334</v>
      </c>
      <c r="CA58" s="33">
        <v>123.53333333333333</v>
      </c>
      <c r="CB58" s="33">
        <v>120.32777777777778</v>
      </c>
      <c r="CC58" s="33">
        <v>123.54444444444445</v>
      </c>
      <c r="CD58" s="33">
        <v>99.927777777777777</v>
      </c>
      <c r="CE58" s="33">
        <v>78.294444444444451</v>
      </c>
      <c r="CF58" s="33">
        <v>24.661111111111111</v>
      </c>
      <c r="CG58" s="33">
        <v>0</v>
      </c>
      <c r="CH58" s="33">
        <v>0</v>
      </c>
      <c r="CI58" s="33">
        <v>0</v>
      </c>
      <c r="CJ58" s="33">
        <v>0</v>
      </c>
      <c r="CK58" s="33">
        <v>708.31666666666672</v>
      </c>
      <c r="CL58" s="33">
        <v>102.95555555555556</v>
      </c>
      <c r="CM58" s="33">
        <v>0</v>
      </c>
      <c r="CN58" s="33">
        <v>923.48333333333346</v>
      </c>
      <c r="CO58" s="33">
        <v>811.27222222222235</v>
      </c>
      <c r="CP58" s="33">
        <v>923.48333333333346</v>
      </c>
      <c r="CQ58" s="33">
        <v>129.333333333333</v>
      </c>
      <c r="CR58" s="33">
        <v>4.4777777777777796</v>
      </c>
      <c r="CS58" s="33">
        <v>133.81111111111079</v>
      </c>
      <c r="CT58" s="33">
        <v>0</v>
      </c>
      <c r="CU58" s="33">
        <v>128</v>
      </c>
      <c r="CV58" s="32">
        <v>18</v>
      </c>
      <c r="CW58" s="32">
        <v>146</v>
      </c>
      <c r="CX58" s="32">
        <v>116</v>
      </c>
      <c r="CY58" s="32">
        <v>125</v>
      </c>
      <c r="CZ58" s="32">
        <v>128</v>
      </c>
      <c r="DA58" s="32">
        <v>123</v>
      </c>
      <c r="DB58" s="32">
        <v>122</v>
      </c>
      <c r="DC58" s="32">
        <v>127</v>
      </c>
      <c r="DD58" s="32">
        <v>91</v>
      </c>
      <c r="DE58" s="32">
        <v>68</v>
      </c>
      <c r="DF58" s="32">
        <v>0</v>
      </c>
      <c r="DG58" s="32">
        <v>0</v>
      </c>
      <c r="DH58" s="32">
        <v>0</v>
      </c>
      <c r="DI58" s="32">
        <v>0</v>
      </c>
      <c r="DJ58" s="32">
        <v>741</v>
      </c>
      <c r="DK58" s="32">
        <v>159</v>
      </c>
      <c r="DL58" s="32">
        <v>0</v>
      </c>
      <c r="DM58" s="32">
        <v>1046</v>
      </c>
      <c r="DN58" s="32">
        <v>900</v>
      </c>
      <c r="DO58" s="32">
        <v>1046</v>
      </c>
      <c r="DP58" s="32">
        <v>0</v>
      </c>
      <c r="DQ58" s="32">
        <v>211</v>
      </c>
      <c r="DR58" s="32">
        <v>145</v>
      </c>
      <c r="DS58" s="32">
        <v>7</v>
      </c>
      <c r="DT58" s="32">
        <v>152</v>
      </c>
      <c r="DU58" s="32">
        <v>0</v>
      </c>
      <c r="DV58" s="33">
        <v>62.342999999999996</v>
      </c>
      <c r="DW58" s="33">
        <v>61.442999999999998</v>
      </c>
      <c r="DX58" s="33">
        <v>47.455000000000005</v>
      </c>
      <c r="DY58" s="33">
        <v>11.828000000000001</v>
      </c>
      <c r="DZ58" s="33">
        <v>0</v>
      </c>
      <c r="EA58" s="33">
        <v>66.718000000000004</v>
      </c>
      <c r="EB58" s="34">
        <v>4.4255414897571954E-2</v>
      </c>
      <c r="EC58" s="32"/>
      <c r="ED58" s="32">
        <v>130</v>
      </c>
      <c r="EE58" s="32">
        <v>957</v>
      </c>
      <c r="EF58" s="32">
        <v>779</v>
      </c>
      <c r="EG58" s="32">
        <v>178</v>
      </c>
      <c r="EH58" s="32">
        <v>0</v>
      </c>
      <c r="EI58" s="32">
        <v>1087</v>
      </c>
      <c r="EJ58" s="32">
        <v>0</v>
      </c>
      <c r="EK58" s="32">
        <v>169</v>
      </c>
      <c r="EL58" s="32">
        <v>169</v>
      </c>
      <c r="EM58" s="32">
        <v>165</v>
      </c>
      <c r="EN58" s="32">
        <v>4</v>
      </c>
      <c r="EO58" s="32">
        <v>3</v>
      </c>
      <c r="EP58" s="33">
        <v>31.771000000000001</v>
      </c>
      <c r="EQ58" s="33">
        <v>0.72</v>
      </c>
      <c r="ER58" s="33">
        <v>1.72</v>
      </c>
      <c r="ES58" s="33">
        <v>1.94</v>
      </c>
      <c r="ET58" s="33">
        <v>11.86</v>
      </c>
      <c r="EU58" s="33">
        <v>48.010999999999996</v>
      </c>
    </row>
    <row r="59" spans="1:151" ht="55.2" x14ac:dyDescent="0.3">
      <c r="A59" s="25">
        <v>94</v>
      </c>
      <c r="B59" s="26" t="s">
        <v>291</v>
      </c>
      <c r="C59" s="27" t="s">
        <v>52</v>
      </c>
      <c r="D59" s="27" t="s">
        <v>272</v>
      </c>
      <c r="E59" s="26" t="s">
        <v>504</v>
      </c>
      <c r="F59" s="26" t="s">
        <v>504</v>
      </c>
      <c r="G59" s="28">
        <v>214.88333333333333</v>
      </c>
      <c r="H59" s="28">
        <v>54.527777777777779</v>
      </c>
      <c r="I59" s="29">
        <v>142</v>
      </c>
      <c r="J59" s="29">
        <v>811</v>
      </c>
      <c r="K59" s="29">
        <v>265</v>
      </c>
      <c r="L59" s="29">
        <v>0</v>
      </c>
      <c r="M59" s="29">
        <v>1218</v>
      </c>
      <c r="N59" s="29">
        <v>1076</v>
      </c>
      <c r="O59" s="29">
        <v>1218</v>
      </c>
      <c r="P59" s="29">
        <v>33</v>
      </c>
      <c r="Q59" s="27">
        <v>141.98888888888888</v>
      </c>
      <c r="R59" s="27">
        <v>140.07222222222222</v>
      </c>
      <c r="S59" s="27">
        <v>132.99444444444444</v>
      </c>
      <c r="T59" s="27">
        <v>118.08333333333333</v>
      </c>
      <c r="U59" s="27">
        <v>140.27777777777777</v>
      </c>
      <c r="V59" s="27">
        <v>130.36111111111111</v>
      </c>
      <c r="W59" s="27">
        <v>133.12222222222223</v>
      </c>
      <c r="X59" s="27">
        <v>141.80555555555554</v>
      </c>
      <c r="Y59" s="27">
        <v>118.74444444444444</v>
      </c>
      <c r="Z59" s="27">
        <v>0</v>
      </c>
      <c r="AA59" s="27">
        <v>0</v>
      </c>
      <c r="AB59" s="27">
        <v>0</v>
      </c>
      <c r="AC59" s="27">
        <v>0</v>
      </c>
      <c r="AD59" s="27">
        <v>794.91111111111104</v>
      </c>
      <c r="AE59" s="27">
        <v>260.54999999999995</v>
      </c>
      <c r="AF59" s="27">
        <v>0</v>
      </c>
      <c r="AG59" s="27">
        <v>1197.4500000000003</v>
      </c>
      <c r="AH59" s="27">
        <v>1055.461111111111</v>
      </c>
      <c r="AI59" s="27">
        <v>1197.4500000000003</v>
      </c>
      <c r="AJ59" s="28">
        <v>235.47222222222223</v>
      </c>
      <c r="AK59" s="28">
        <v>8.9777777777777779</v>
      </c>
      <c r="AL59" s="28">
        <v>244.45000000000002</v>
      </c>
      <c r="AM59" s="29">
        <v>132</v>
      </c>
      <c r="AN59" s="35">
        <v>134</v>
      </c>
      <c r="AO59" s="27">
        <v>141</v>
      </c>
      <c r="AP59" s="27">
        <v>131</v>
      </c>
      <c r="AQ59" s="27">
        <v>118</v>
      </c>
      <c r="AR59" s="27">
        <v>143</v>
      </c>
      <c r="AS59" s="27">
        <v>134</v>
      </c>
      <c r="AT59" s="27">
        <v>130</v>
      </c>
      <c r="AU59" s="27">
        <v>140</v>
      </c>
      <c r="AV59" s="27">
        <v>0</v>
      </c>
      <c r="AW59" s="27">
        <v>0</v>
      </c>
      <c r="AX59" s="27">
        <v>0</v>
      </c>
      <c r="AY59" s="27">
        <v>0</v>
      </c>
      <c r="AZ59" s="27">
        <v>801</v>
      </c>
      <c r="BA59" s="27">
        <v>270</v>
      </c>
      <c r="BB59" s="27">
        <v>0</v>
      </c>
      <c r="BC59" s="27">
        <v>1203</v>
      </c>
      <c r="BD59" s="27">
        <v>1071</v>
      </c>
      <c r="BE59" s="27">
        <v>1203</v>
      </c>
      <c r="BF59" s="27">
        <v>27</v>
      </c>
      <c r="BG59" s="27">
        <v>105</v>
      </c>
      <c r="BH59" s="27">
        <v>0</v>
      </c>
      <c r="BI59" s="27">
        <v>299</v>
      </c>
      <c r="BJ59" s="27">
        <v>208</v>
      </c>
      <c r="BK59" s="29">
        <v>5</v>
      </c>
      <c r="BL59" s="29">
        <v>213</v>
      </c>
      <c r="BM59" s="29">
        <v>76</v>
      </c>
      <c r="BN59" s="30">
        <v>7.3805059806341389E-2</v>
      </c>
      <c r="BO59" s="31">
        <v>69.510000000000005</v>
      </c>
      <c r="BP59" s="31">
        <v>66.509999999999991</v>
      </c>
      <c r="BQ59" s="31">
        <v>60.91</v>
      </c>
      <c r="BR59" s="31">
        <v>70.209999999999994</v>
      </c>
      <c r="BS59" s="32">
        <v>0</v>
      </c>
      <c r="BT59" s="32">
        <v>0</v>
      </c>
      <c r="BU59" s="33">
        <v>0</v>
      </c>
      <c r="BV59" s="33">
        <v>102.922222</v>
      </c>
      <c r="BW59" s="33">
        <v>25.727777</v>
      </c>
      <c r="BX59" s="33">
        <v>128.65</v>
      </c>
      <c r="BY59" s="33">
        <v>132.67222222222222</v>
      </c>
      <c r="BZ59" s="33">
        <v>139.85555555555555</v>
      </c>
      <c r="CA59" s="33">
        <v>128.87222222222223</v>
      </c>
      <c r="CB59" s="33">
        <v>118.28888888888889</v>
      </c>
      <c r="CC59" s="33">
        <v>142.25555555555556</v>
      </c>
      <c r="CD59" s="33">
        <v>134.21111111111111</v>
      </c>
      <c r="CE59" s="33">
        <v>128.60555555555555</v>
      </c>
      <c r="CF59" s="33">
        <v>138.37222222222223</v>
      </c>
      <c r="CG59" s="33">
        <v>0</v>
      </c>
      <c r="CH59" s="33">
        <v>0</v>
      </c>
      <c r="CI59" s="33">
        <v>0</v>
      </c>
      <c r="CJ59" s="33">
        <v>0</v>
      </c>
      <c r="CK59" s="33">
        <v>796.15555555555557</v>
      </c>
      <c r="CL59" s="33">
        <v>266.97777777777776</v>
      </c>
      <c r="CM59" s="33">
        <v>0</v>
      </c>
      <c r="CN59" s="33">
        <v>1191.7833333333333</v>
      </c>
      <c r="CO59" s="33">
        <v>1063.1333333333334</v>
      </c>
      <c r="CP59" s="33">
        <v>1191.7833333333333</v>
      </c>
      <c r="CQ59" s="33">
        <v>238.03888888888901</v>
      </c>
      <c r="CR59" s="33">
        <v>2.7111111111111099</v>
      </c>
      <c r="CS59" s="33">
        <v>240.75000000000011</v>
      </c>
      <c r="CT59" s="33">
        <v>0</v>
      </c>
      <c r="CU59" s="33">
        <v>111</v>
      </c>
      <c r="CV59" s="32">
        <v>22</v>
      </c>
      <c r="CW59" s="32">
        <v>133</v>
      </c>
      <c r="CX59" s="32">
        <v>127</v>
      </c>
      <c r="CY59" s="32">
        <v>128</v>
      </c>
      <c r="CZ59" s="32">
        <v>145</v>
      </c>
      <c r="DA59" s="32">
        <v>126</v>
      </c>
      <c r="DB59" s="32">
        <v>126</v>
      </c>
      <c r="DC59" s="32">
        <v>139</v>
      </c>
      <c r="DD59" s="32">
        <v>134</v>
      </c>
      <c r="DE59" s="32">
        <v>131</v>
      </c>
      <c r="DF59" s="32">
        <v>0</v>
      </c>
      <c r="DG59" s="32">
        <v>0</v>
      </c>
      <c r="DH59" s="32">
        <v>0</v>
      </c>
      <c r="DI59" s="32">
        <v>0</v>
      </c>
      <c r="DJ59" s="32">
        <v>791</v>
      </c>
      <c r="DK59" s="32">
        <v>265</v>
      </c>
      <c r="DL59" s="32">
        <v>0</v>
      </c>
      <c r="DM59" s="32">
        <v>1189</v>
      </c>
      <c r="DN59" s="32">
        <v>1056</v>
      </c>
      <c r="DO59" s="32">
        <v>1189</v>
      </c>
      <c r="DP59" s="32">
        <v>0</v>
      </c>
      <c r="DQ59" s="32">
        <v>293</v>
      </c>
      <c r="DR59" s="32">
        <v>214</v>
      </c>
      <c r="DS59" s="32">
        <v>3</v>
      </c>
      <c r="DT59" s="32">
        <v>217</v>
      </c>
      <c r="DU59" s="32">
        <v>92</v>
      </c>
      <c r="DV59" s="33">
        <v>77.405000000000015</v>
      </c>
      <c r="DW59" s="33">
        <v>72.655000000000001</v>
      </c>
      <c r="DX59" s="33">
        <v>41.707999999999998</v>
      </c>
      <c r="DY59" s="33">
        <v>20.521999999999998</v>
      </c>
      <c r="DZ59" s="33">
        <v>0</v>
      </c>
      <c r="EA59" s="33">
        <v>78.404999999999987</v>
      </c>
      <c r="EB59" s="34">
        <v>7.2563043798849758E-2</v>
      </c>
      <c r="EC59" s="32"/>
      <c r="ED59" s="32">
        <v>130</v>
      </c>
      <c r="EE59" s="32">
        <v>1050</v>
      </c>
      <c r="EF59" s="32">
        <v>834</v>
      </c>
      <c r="EG59" s="32">
        <v>216</v>
      </c>
      <c r="EH59" s="32">
        <v>0</v>
      </c>
      <c r="EI59" s="32">
        <v>1180</v>
      </c>
      <c r="EJ59" s="32">
        <v>0</v>
      </c>
      <c r="EK59" s="32">
        <v>221</v>
      </c>
      <c r="EL59" s="32">
        <v>221</v>
      </c>
      <c r="EM59" s="32">
        <v>219</v>
      </c>
      <c r="EN59" s="32">
        <v>2</v>
      </c>
      <c r="EO59" s="32">
        <v>2</v>
      </c>
      <c r="EP59" s="33">
        <v>49.8</v>
      </c>
      <c r="EQ59" s="33">
        <v>0.4</v>
      </c>
      <c r="ER59" s="33">
        <v>7.2</v>
      </c>
      <c r="ES59" s="33">
        <v>0.4</v>
      </c>
      <c r="ET59" s="33">
        <v>6.2</v>
      </c>
      <c r="EU59" s="33">
        <v>64</v>
      </c>
    </row>
    <row r="60" spans="1:151" ht="27.6" x14ac:dyDescent="0.3">
      <c r="A60" s="25">
        <v>95</v>
      </c>
      <c r="B60" s="26" t="s">
        <v>293</v>
      </c>
      <c r="C60" s="27" t="s">
        <v>53</v>
      </c>
      <c r="D60" s="27" t="s">
        <v>272</v>
      </c>
      <c r="E60" s="26" t="s">
        <v>504</v>
      </c>
      <c r="F60" s="26" t="s">
        <v>504</v>
      </c>
      <c r="G60" s="28">
        <v>76.083333333333329</v>
      </c>
      <c r="H60" s="28">
        <v>7.8611111111111107</v>
      </c>
      <c r="I60" s="29">
        <v>68</v>
      </c>
      <c r="J60" s="29">
        <v>452</v>
      </c>
      <c r="K60" s="29">
        <v>0</v>
      </c>
      <c r="L60" s="29">
        <v>0</v>
      </c>
      <c r="M60" s="29">
        <v>520</v>
      </c>
      <c r="N60" s="29">
        <v>452</v>
      </c>
      <c r="O60" s="29">
        <v>520</v>
      </c>
      <c r="P60" s="29">
        <v>6</v>
      </c>
      <c r="Q60" s="27">
        <v>66.25555555555556</v>
      </c>
      <c r="R60" s="27">
        <v>73.522222222222226</v>
      </c>
      <c r="S60" s="27">
        <v>74.87222222222222</v>
      </c>
      <c r="T60" s="27">
        <v>74.477777777777774</v>
      </c>
      <c r="U60" s="27">
        <v>72.522222222222226</v>
      </c>
      <c r="V60" s="27">
        <v>72.083333333333329</v>
      </c>
      <c r="W60" s="27">
        <v>72.266666666666666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439.74444444444441</v>
      </c>
      <c r="AE60" s="27">
        <v>0</v>
      </c>
      <c r="AF60" s="27">
        <v>0</v>
      </c>
      <c r="AG60" s="27">
        <v>505.99999999999994</v>
      </c>
      <c r="AH60" s="27">
        <v>439.74444444444441</v>
      </c>
      <c r="AI60" s="27">
        <v>505.99999999999994</v>
      </c>
      <c r="AJ60" s="28">
        <v>72.594444444444449</v>
      </c>
      <c r="AK60" s="28">
        <v>7</v>
      </c>
      <c r="AL60" s="28">
        <v>79.594444444444449</v>
      </c>
      <c r="AM60" s="29">
        <v>72</v>
      </c>
      <c r="AN60" s="35">
        <v>67</v>
      </c>
      <c r="AO60" s="27">
        <v>78</v>
      </c>
      <c r="AP60" s="27">
        <v>75</v>
      </c>
      <c r="AQ60" s="27">
        <v>72</v>
      </c>
      <c r="AR60" s="27">
        <v>76</v>
      </c>
      <c r="AS60" s="27">
        <v>74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442</v>
      </c>
      <c r="BA60" s="27">
        <v>0</v>
      </c>
      <c r="BB60" s="27">
        <v>0</v>
      </c>
      <c r="BC60" s="27">
        <v>514</v>
      </c>
      <c r="BD60" s="27">
        <v>442</v>
      </c>
      <c r="BE60" s="27">
        <v>514</v>
      </c>
      <c r="BF60" s="27">
        <v>0</v>
      </c>
      <c r="BG60" s="27">
        <v>72</v>
      </c>
      <c r="BH60" s="27">
        <v>0</v>
      </c>
      <c r="BI60" s="27">
        <v>26</v>
      </c>
      <c r="BJ60" s="27">
        <v>68</v>
      </c>
      <c r="BK60" s="29">
        <v>8</v>
      </c>
      <c r="BL60" s="29">
        <v>76</v>
      </c>
      <c r="BM60" s="29">
        <v>9</v>
      </c>
      <c r="BN60" s="30">
        <v>7.5382761553728528E-2</v>
      </c>
      <c r="BO60" s="31">
        <v>25.689</v>
      </c>
      <c r="BP60" s="31">
        <v>24.689</v>
      </c>
      <c r="BQ60" s="31">
        <v>24.689</v>
      </c>
      <c r="BR60" s="31">
        <v>25.689</v>
      </c>
      <c r="BS60" s="32">
        <v>0</v>
      </c>
      <c r="BT60" s="32">
        <v>0</v>
      </c>
      <c r="BU60" s="33">
        <v>0</v>
      </c>
      <c r="BV60" s="33">
        <v>72.594443999999996</v>
      </c>
      <c r="BW60" s="33">
        <v>0</v>
      </c>
      <c r="BX60" s="33">
        <v>72.594444444444449</v>
      </c>
      <c r="BY60" s="33">
        <v>65.2</v>
      </c>
      <c r="BZ60" s="33">
        <v>76.305555555555557</v>
      </c>
      <c r="CA60" s="33">
        <v>74.927777777777777</v>
      </c>
      <c r="CB60" s="33">
        <v>69.87222222222222</v>
      </c>
      <c r="CC60" s="33">
        <v>73.816666666666663</v>
      </c>
      <c r="CD60" s="33">
        <v>68.62222222222222</v>
      </c>
      <c r="CE60" s="33">
        <v>0</v>
      </c>
      <c r="CF60" s="33">
        <v>0</v>
      </c>
      <c r="CG60" s="33">
        <v>0</v>
      </c>
      <c r="CH60" s="33">
        <v>0</v>
      </c>
      <c r="CI60" s="33">
        <v>0</v>
      </c>
      <c r="CJ60" s="33">
        <v>0</v>
      </c>
      <c r="CK60" s="33">
        <v>428.74444444444441</v>
      </c>
      <c r="CL60" s="33">
        <v>0</v>
      </c>
      <c r="CM60" s="33">
        <v>0</v>
      </c>
      <c r="CN60" s="33">
        <v>501.3388888888889</v>
      </c>
      <c r="CO60" s="33">
        <v>428.74444444444441</v>
      </c>
      <c r="CP60" s="33">
        <v>501.3388888888889</v>
      </c>
      <c r="CQ60" s="33">
        <v>75.616666666666703</v>
      </c>
      <c r="CR60" s="33">
        <v>7</v>
      </c>
      <c r="CS60" s="33">
        <v>82.616666666666703</v>
      </c>
      <c r="CT60" s="33">
        <v>0</v>
      </c>
      <c r="CU60" s="33">
        <v>0</v>
      </c>
      <c r="CV60" s="32">
        <v>61</v>
      </c>
      <c r="CW60" s="32">
        <v>61</v>
      </c>
      <c r="CX60" s="32">
        <v>72</v>
      </c>
      <c r="CY60" s="32">
        <v>69</v>
      </c>
      <c r="CZ60" s="32">
        <v>76</v>
      </c>
      <c r="DA60" s="32">
        <v>74</v>
      </c>
      <c r="DB60" s="32">
        <v>71</v>
      </c>
      <c r="DC60" s="32">
        <v>67</v>
      </c>
      <c r="DD60" s="32">
        <v>0</v>
      </c>
      <c r="DE60" s="32">
        <v>0</v>
      </c>
      <c r="DF60" s="32">
        <v>0</v>
      </c>
      <c r="DG60" s="32">
        <v>0</v>
      </c>
      <c r="DH60" s="32">
        <v>0</v>
      </c>
      <c r="DI60" s="32">
        <v>0</v>
      </c>
      <c r="DJ60" s="32">
        <v>429</v>
      </c>
      <c r="DK60" s="32">
        <v>0</v>
      </c>
      <c r="DL60" s="32">
        <v>0</v>
      </c>
      <c r="DM60" s="32">
        <v>490</v>
      </c>
      <c r="DN60" s="32">
        <v>429</v>
      </c>
      <c r="DO60" s="32">
        <v>490</v>
      </c>
      <c r="DP60" s="32">
        <v>0</v>
      </c>
      <c r="DQ60" s="32">
        <v>20</v>
      </c>
      <c r="DR60" s="32">
        <v>79</v>
      </c>
      <c r="DS60" s="32">
        <v>5</v>
      </c>
      <c r="DT60" s="32">
        <v>84</v>
      </c>
      <c r="DU60" s="32">
        <v>9</v>
      </c>
      <c r="DV60" s="33">
        <v>25.689</v>
      </c>
      <c r="DW60" s="33">
        <v>24.689</v>
      </c>
      <c r="DX60" s="33">
        <v>23.689</v>
      </c>
      <c r="DY60" s="33">
        <v>0</v>
      </c>
      <c r="DZ60" s="33">
        <v>0</v>
      </c>
      <c r="EA60" s="33">
        <v>25.689</v>
      </c>
      <c r="EB60" s="34">
        <v>7.7800809685079297E-2</v>
      </c>
      <c r="EC60" s="32"/>
      <c r="ED60" s="32">
        <v>71</v>
      </c>
      <c r="EE60" s="32">
        <v>419</v>
      </c>
      <c r="EF60" s="32">
        <v>419</v>
      </c>
      <c r="EG60" s="32">
        <v>0</v>
      </c>
      <c r="EH60" s="32">
        <v>0</v>
      </c>
      <c r="EI60" s="32">
        <v>490</v>
      </c>
      <c r="EJ60" s="32">
        <v>0</v>
      </c>
      <c r="EK60" s="32">
        <v>85</v>
      </c>
      <c r="EL60" s="32">
        <v>85</v>
      </c>
      <c r="EM60" s="32">
        <v>79</v>
      </c>
      <c r="EN60" s="32">
        <v>6</v>
      </c>
      <c r="EO60" s="32">
        <v>12</v>
      </c>
      <c r="EP60" s="33">
        <v>53</v>
      </c>
      <c r="EQ60" s="33">
        <v>1</v>
      </c>
      <c r="ER60" s="33">
        <v>2</v>
      </c>
      <c r="ES60" s="33">
        <v>0</v>
      </c>
      <c r="ET60" s="33">
        <v>0</v>
      </c>
      <c r="EU60" s="33">
        <v>56</v>
      </c>
    </row>
    <row r="61" spans="1:151" ht="27.6" x14ac:dyDescent="0.3">
      <c r="A61" s="25">
        <v>97</v>
      </c>
      <c r="B61" s="26" t="s">
        <v>294</v>
      </c>
      <c r="C61" s="27" t="s">
        <v>54</v>
      </c>
      <c r="D61" s="27" t="s">
        <v>272</v>
      </c>
      <c r="E61" s="26" t="s">
        <v>504</v>
      </c>
      <c r="F61" s="26" t="s">
        <v>504</v>
      </c>
      <c r="G61" s="28">
        <v>34.62222222222222</v>
      </c>
      <c r="H61" s="28">
        <v>1</v>
      </c>
      <c r="I61" s="29">
        <v>0</v>
      </c>
      <c r="J61" s="29">
        <v>200</v>
      </c>
      <c r="K61" s="29">
        <v>204</v>
      </c>
      <c r="L61" s="29">
        <v>0</v>
      </c>
      <c r="M61" s="29">
        <v>404</v>
      </c>
      <c r="N61" s="29">
        <v>404</v>
      </c>
      <c r="O61" s="29">
        <v>404</v>
      </c>
      <c r="P61" s="29">
        <v>2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98.966666666666669</v>
      </c>
      <c r="W61" s="27">
        <v>101.26111111111111</v>
      </c>
      <c r="X61" s="27">
        <v>98.305555555555557</v>
      </c>
      <c r="Y61" s="27">
        <v>103.63888888888889</v>
      </c>
      <c r="Z61" s="27">
        <v>0</v>
      </c>
      <c r="AA61" s="27">
        <v>0</v>
      </c>
      <c r="AB61" s="27">
        <v>0</v>
      </c>
      <c r="AC61" s="27">
        <v>0</v>
      </c>
      <c r="AD61" s="27">
        <v>200.22777777777776</v>
      </c>
      <c r="AE61" s="27">
        <v>201.94444444444446</v>
      </c>
      <c r="AF61" s="27">
        <v>0</v>
      </c>
      <c r="AG61" s="27">
        <v>402.17222222222222</v>
      </c>
      <c r="AH61" s="27">
        <v>402.17222222222222</v>
      </c>
      <c r="AI61" s="27">
        <v>402.17222222222222</v>
      </c>
      <c r="AJ61" s="28">
        <v>42.2</v>
      </c>
      <c r="AK61" s="28">
        <v>2</v>
      </c>
      <c r="AL61" s="28">
        <v>44.2</v>
      </c>
      <c r="AM61" s="29">
        <v>0</v>
      </c>
      <c r="AN61" s="35">
        <v>0</v>
      </c>
      <c r="AO61" s="27">
        <v>0</v>
      </c>
      <c r="AP61" s="27">
        <v>0</v>
      </c>
      <c r="AQ61" s="27">
        <v>0</v>
      </c>
      <c r="AR61" s="27">
        <v>102</v>
      </c>
      <c r="AS61" s="27">
        <v>102</v>
      </c>
      <c r="AT61" s="27">
        <v>103</v>
      </c>
      <c r="AU61" s="27">
        <v>99</v>
      </c>
      <c r="AV61" s="27">
        <v>0</v>
      </c>
      <c r="AW61" s="27">
        <v>0</v>
      </c>
      <c r="AX61" s="27">
        <v>0</v>
      </c>
      <c r="AY61" s="27">
        <v>0</v>
      </c>
      <c r="AZ61" s="27">
        <v>204</v>
      </c>
      <c r="BA61" s="27">
        <v>202</v>
      </c>
      <c r="BB61" s="27">
        <v>0</v>
      </c>
      <c r="BC61" s="27">
        <v>406</v>
      </c>
      <c r="BD61" s="27">
        <v>406</v>
      </c>
      <c r="BE61" s="27">
        <v>406</v>
      </c>
      <c r="BF61" s="27">
        <v>0</v>
      </c>
      <c r="BG61" s="27">
        <v>0</v>
      </c>
      <c r="BH61" s="27">
        <v>0</v>
      </c>
      <c r="BI61" s="27">
        <v>55</v>
      </c>
      <c r="BJ61" s="27">
        <v>46</v>
      </c>
      <c r="BK61" s="29">
        <v>1</v>
      </c>
      <c r="BL61" s="29">
        <v>47</v>
      </c>
      <c r="BM61" s="29">
        <v>3</v>
      </c>
      <c r="BN61" s="30">
        <v>9.6995192307692268E-2</v>
      </c>
      <c r="BO61" s="31">
        <v>27.099999999999998</v>
      </c>
      <c r="BP61" s="31">
        <v>26.1</v>
      </c>
      <c r="BQ61" s="31">
        <v>24.299999999999997</v>
      </c>
      <c r="BR61" s="31">
        <v>27.099999999999998</v>
      </c>
      <c r="BS61" s="32">
        <v>0</v>
      </c>
      <c r="BT61" s="32">
        <v>0</v>
      </c>
      <c r="BU61" s="33">
        <v>0</v>
      </c>
      <c r="BV61" s="33">
        <v>0</v>
      </c>
      <c r="BW61" s="33">
        <v>0</v>
      </c>
      <c r="BX61" s="33">
        <v>0</v>
      </c>
      <c r="BY61" s="33">
        <v>0</v>
      </c>
      <c r="BZ61" s="33">
        <v>0</v>
      </c>
      <c r="CA61" s="33">
        <v>0</v>
      </c>
      <c r="CB61" s="33">
        <v>0</v>
      </c>
      <c r="CC61" s="33">
        <v>102.47222222222223</v>
      </c>
      <c r="CD61" s="33">
        <v>101.82222222222222</v>
      </c>
      <c r="CE61" s="33">
        <v>102.71666666666667</v>
      </c>
      <c r="CF61" s="33">
        <v>97.433333333333337</v>
      </c>
      <c r="CG61" s="33">
        <v>0</v>
      </c>
      <c r="CH61" s="33">
        <v>0</v>
      </c>
      <c r="CI61" s="33">
        <v>0</v>
      </c>
      <c r="CJ61" s="33">
        <v>0</v>
      </c>
      <c r="CK61" s="33">
        <v>204.29444444444445</v>
      </c>
      <c r="CL61" s="33">
        <v>200.15</v>
      </c>
      <c r="CM61" s="33">
        <v>0</v>
      </c>
      <c r="CN61" s="33">
        <v>404.44444444444446</v>
      </c>
      <c r="CO61" s="33">
        <v>404.44444444444446</v>
      </c>
      <c r="CP61" s="33">
        <v>404.44444444444446</v>
      </c>
      <c r="CQ61" s="33">
        <v>45.227777777777803</v>
      </c>
      <c r="CR61" s="33">
        <v>1</v>
      </c>
      <c r="CS61" s="33">
        <v>46.227777777777803</v>
      </c>
      <c r="CT61" s="33">
        <v>0</v>
      </c>
      <c r="CU61" s="33">
        <v>0</v>
      </c>
      <c r="CV61" s="32">
        <v>0</v>
      </c>
      <c r="CW61" s="32">
        <v>0</v>
      </c>
      <c r="CX61" s="32">
        <v>0</v>
      </c>
      <c r="CY61" s="32">
        <v>0</v>
      </c>
      <c r="CZ61" s="32">
        <v>0</v>
      </c>
      <c r="DA61" s="32">
        <v>0</v>
      </c>
      <c r="DB61" s="32">
        <v>104</v>
      </c>
      <c r="DC61" s="32">
        <v>104</v>
      </c>
      <c r="DD61" s="32">
        <v>104</v>
      </c>
      <c r="DE61" s="32">
        <v>103</v>
      </c>
      <c r="DF61" s="32">
        <v>0</v>
      </c>
      <c r="DG61" s="32">
        <v>0</v>
      </c>
      <c r="DH61" s="32">
        <v>0</v>
      </c>
      <c r="DI61" s="32">
        <v>0</v>
      </c>
      <c r="DJ61" s="32">
        <v>208</v>
      </c>
      <c r="DK61" s="32">
        <v>207</v>
      </c>
      <c r="DL61" s="32">
        <v>0</v>
      </c>
      <c r="DM61" s="32">
        <v>415</v>
      </c>
      <c r="DN61" s="32">
        <v>415</v>
      </c>
      <c r="DO61" s="32">
        <v>415</v>
      </c>
      <c r="DP61" s="32">
        <v>0</v>
      </c>
      <c r="DQ61" s="32">
        <v>66</v>
      </c>
      <c r="DR61" s="32">
        <v>47</v>
      </c>
      <c r="DS61" s="32">
        <v>0</v>
      </c>
      <c r="DT61" s="32">
        <v>47</v>
      </c>
      <c r="DU61" s="32">
        <v>5</v>
      </c>
      <c r="DV61" s="33">
        <v>26.337</v>
      </c>
      <c r="DW61" s="33">
        <v>25.337</v>
      </c>
      <c r="DX61" s="33">
        <v>8.5570000000000004</v>
      </c>
      <c r="DY61" s="33">
        <v>14.772</v>
      </c>
      <c r="DZ61" s="33">
        <v>0</v>
      </c>
      <c r="EA61" s="33">
        <v>26.337000000000003</v>
      </c>
      <c r="EB61" s="34">
        <v>9.7705253406415282E-2</v>
      </c>
      <c r="EC61" s="32"/>
      <c r="ED61" s="32">
        <v>0</v>
      </c>
      <c r="EE61" s="32">
        <v>414</v>
      </c>
      <c r="EF61" s="32">
        <v>207</v>
      </c>
      <c r="EG61" s="32">
        <v>207</v>
      </c>
      <c r="EH61" s="32">
        <v>0</v>
      </c>
      <c r="EI61" s="32">
        <v>414</v>
      </c>
      <c r="EJ61" s="32">
        <v>0</v>
      </c>
      <c r="EK61" s="32">
        <v>46</v>
      </c>
      <c r="EL61" s="32">
        <v>46</v>
      </c>
      <c r="EM61" s="32">
        <v>46</v>
      </c>
      <c r="EN61" s="32">
        <v>0</v>
      </c>
      <c r="EO61" s="32">
        <v>0</v>
      </c>
      <c r="EP61" s="33">
        <v>1.5</v>
      </c>
      <c r="EQ61" s="33">
        <v>0</v>
      </c>
      <c r="ER61" s="33">
        <v>1.0620000000000001</v>
      </c>
      <c r="ES61" s="33">
        <v>0.5</v>
      </c>
      <c r="ET61" s="33">
        <v>0</v>
      </c>
      <c r="EU61" s="33">
        <v>3.0620000000000003</v>
      </c>
    </row>
    <row r="62" spans="1:151" ht="41.4" x14ac:dyDescent="0.3">
      <c r="A62" s="25">
        <v>98</v>
      </c>
      <c r="B62" s="26" t="s">
        <v>296</v>
      </c>
      <c r="C62" s="27" t="s">
        <v>694</v>
      </c>
      <c r="D62" s="27" t="s">
        <v>272</v>
      </c>
      <c r="E62" s="26" t="s">
        <v>504</v>
      </c>
      <c r="F62" s="26" t="s">
        <v>504</v>
      </c>
      <c r="G62" s="28">
        <v>58.044444444444444</v>
      </c>
      <c r="H62" s="28">
        <v>0</v>
      </c>
      <c r="I62" s="29">
        <v>0</v>
      </c>
      <c r="J62" s="29">
        <v>0</v>
      </c>
      <c r="K62" s="29">
        <v>0</v>
      </c>
      <c r="L62" s="29">
        <v>420</v>
      </c>
      <c r="M62" s="29">
        <v>420</v>
      </c>
      <c r="N62" s="29">
        <v>420</v>
      </c>
      <c r="O62" s="29">
        <v>0</v>
      </c>
      <c r="P62" s="29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64.99444444444444</v>
      </c>
      <c r="AA62" s="27">
        <v>107.07777777777778</v>
      </c>
      <c r="AB62" s="27">
        <v>157.23333333333332</v>
      </c>
      <c r="AC62" s="27">
        <v>101.60555555555555</v>
      </c>
      <c r="AD62" s="27">
        <v>0</v>
      </c>
      <c r="AE62" s="27">
        <v>0</v>
      </c>
      <c r="AF62" s="27">
        <v>430.9111111111111</v>
      </c>
      <c r="AG62" s="27">
        <v>0</v>
      </c>
      <c r="AH62" s="27">
        <v>430.9111111111111</v>
      </c>
      <c r="AI62" s="27">
        <v>430.9111111111111</v>
      </c>
      <c r="AJ62" s="28">
        <v>89.594444444444449</v>
      </c>
      <c r="AK62" s="28">
        <v>0</v>
      </c>
      <c r="AL62" s="28">
        <v>89.594444444444449</v>
      </c>
      <c r="AM62" s="29">
        <v>0</v>
      </c>
      <c r="AN62" s="35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0</v>
      </c>
      <c r="AU62" s="27">
        <v>0</v>
      </c>
      <c r="AV62" s="27">
        <v>55</v>
      </c>
      <c r="AW62" s="27">
        <v>103</v>
      </c>
      <c r="AX62" s="27">
        <v>136</v>
      </c>
      <c r="AY62" s="27">
        <v>154</v>
      </c>
      <c r="AZ62" s="27">
        <v>0</v>
      </c>
      <c r="BA62" s="27">
        <v>0</v>
      </c>
      <c r="BB62" s="27">
        <v>448</v>
      </c>
      <c r="BC62" s="27">
        <v>0</v>
      </c>
      <c r="BD62" s="27">
        <v>448</v>
      </c>
      <c r="BE62" s="27">
        <v>448</v>
      </c>
      <c r="BF62" s="27">
        <v>0</v>
      </c>
      <c r="BG62" s="27">
        <v>0</v>
      </c>
      <c r="BH62" s="27">
        <v>0</v>
      </c>
      <c r="BI62" s="27">
        <v>158</v>
      </c>
      <c r="BJ62" s="27">
        <v>95</v>
      </c>
      <c r="BK62" s="29">
        <v>0</v>
      </c>
      <c r="BL62" s="29">
        <v>95</v>
      </c>
      <c r="BM62" s="29">
        <v>15</v>
      </c>
      <c r="BN62" s="30">
        <v>7.1400491400491484E-2</v>
      </c>
      <c r="BO62" s="31">
        <v>20.3</v>
      </c>
      <c r="BP62" s="31">
        <v>19</v>
      </c>
      <c r="BQ62" s="31">
        <v>19</v>
      </c>
      <c r="BR62" s="31">
        <v>23.400000000000002</v>
      </c>
      <c r="BS62" s="32">
        <v>0</v>
      </c>
      <c r="BT62" s="32">
        <v>0</v>
      </c>
      <c r="BU62" s="33">
        <v>0</v>
      </c>
      <c r="BV62" s="33">
        <v>0</v>
      </c>
      <c r="BW62" s="33">
        <v>0</v>
      </c>
      <c r="BX62" s="33">
        <v>0</v>
      </c>
      <c r="BY62" s="33">
        <v>0</v>
      </c>
      <c r="BZ62" s="33">
        <v>0</v>
      </c>
      <c r="CA62" s="33">
        <v>0</v>
      </c>
      <c r="CB62" s="33">
        <v>0</v>
      </c>
      <c r="CC62" s="33">
        <v>0</v>
      </c>
      <c r="CD62" s="33">
        <v>0</v>
      </c>
      <c r="CE62" s="33">
        <v>0</v>
      </c>
      <c r="CF62" s="33">
        <v>0</v>
      </c>
      <c r="CG62" s="33">
        <v>62.233333333333334</v>
      </c>
      <c r="CH62" s="33">
        <v>110.6</v>
      </c>
      <c r="CI62" s="33">
        <v>144.8388888888889</v>
      </c>
      <c r="CJ62" s="33">
        <v>152.21666666666667</v>
      </c>
      <c r="CK62" s="33">
        <v>0</v>
      </c>
      <c r="CL62" s="33">
        <v>0</v>
      </c>
      <c r="CM62" s="33">
        <v>469.88888888888891</v>
      </c>
      <c r="CN62" s="33">
        <v>0</v>
      </c>
      <c r="CO62" s="33">
        <v>469.88888888888891</v>
      </c>
      <c r="CP62" s="33">
        <v>469.88888888888891</v>
      </c>
      <c r="CQ62" s="33">
        <v>95.811111111111103</v>
      </c>
      <c r="CR62" s="33">
        <v>0</v>
      </c>
      <c r="CS62" s="33">
        <v>95.811111111111103</v>
      </c>
      <c r="CT62" s="33">
        <v>0</v>
      </c>
      <c r="CU62" s="33">
        <v>0</v>
      </c>
      <c r="CV62" s="32">
        <v>0</v>
      </c>
      <c r="CW62" s="32">
        <v>0</v>
      </c>
      <c r="CX62" s="32">
        <v>0</v>
      </c>
      <c r="CY62" s="32">
        <v>0</v>
      </c>
      <c r="CZ62" s="32">
        <v>0</v>
      </c>
      <c r="DA62" s="32">
        <v>0</v>
      </c>
      <c r="DB62" s="32">
        <v>0</v>
      </c>
      <c r="DC62" s="32">
        <v>0</v>
      </c>
      <c r="DD62" s="32">
        <v>0</v>
      </c>
      <c r="DE62" s="32">
        <v>0</v>
      </c>
      <c r="DF62" s="32">
        <v>56</v>
      </c>
      <c r="DG62" s="32">
        <v>97</v>
      </c>
      <c r="DH62" s="32">
        <v>156</v>
      </c>
      <c r="DI62" s="32">
        <v>133</v>
      </c>
      <c r="DJ62" s="32">
        <v>0</v>
      </c>
      <c r="DK62" s="32">
        <v>0</v>
      </c>
      <c r="DL62" s="32">
        <v>442</v>
      </c>
      <c r="DM62" s="32">
        <v>0</v>
      </c>
      <c r="DN62" s="32">
        <v>442</v>
      </c>
      <c r="DO62" s="32">
        <v>442</v>
      </c>
      <c r="DP62" s="32">
        <v>0</v>
      </c>
      <c r="DQ62" s="32">
        <v>150</v>
      </c>
      <c r="DR62" s="32">
        <v>75</v>
      </c>
      <c r="DS62" s="32">
        <v>0</v>
      </c>
      <c r="DT62" s="32">
        <v>75</v>
      </c>
      <c r="DU62" s="32">
        <v>34</v>
      </c>
      <c r="DV62" s="33">
        <v>21.53</v>
      </c>
      <c r="DW62" s="33">
        <v>20.229999999999997</v>
      </c>
      <c r="DX62" s="33">
        <v>0</v>
      </c>
      <c r="DY62" s="33">
        <v>17.12</v>
      </c>
      <c r="DZ62" s="33">
        <v>0</v>
      </c>
      <c r="EA62" s="33">
        <v>23.870000000000005</v>
      </c>
      <c r="EB62" s="34">
        <v>6.6175814368585495E-2</v>
      </c>
      <c r="EC62" s="32"/>
      <c r="ED62" s="32">
        <v>0</v>
      </c>
      <c r="EE62" s="32">
        <v>439</v>
      </c>
      <c r="EF62" s="32">
        <v>0</v>
      </c>
      <c r="EG62" s="32">
        <v>0</v>
      </c>
      <c r="EH62" s="32">
        <v>439</v>
      </c>
      <c r="EI62" s="32">
        <v>439</v>
      </c>
      <c r="EJ62" s="32">
        <v>0</v>
      </c>
      <c r="EK62" s="32">
        <v>75</v>
      </c>
      <c r="EL62" s="32">
        <v>75</v>
      </c>
      <c r="EM62" s="32">
        <v>75</v>
      </c>
      <c r="EN62" s="32">
        <v>0</v>
      </c>
      <c r="EO62" s="32">
        <v>0</v>
      </c>
      <c r="EP62" s="33">
        <v>5</v>
      </c>
      <c r="EQ62" s="33">
        <v>0</v>
      </c>
      <c r="ER62" s="33">
        <v>3</v>
      </c>
      <c r="ES62" s="33">
        <v>1.5</v>
      </c>
      <c r="ET62" s="33">
        <v>1</v>
      </c>
      <c r="EU62" s="33">
        <v>10.5</v>
      </c>
    </row>
    <row r="63" spans="1:151" ht="41.4" x14ac:dyDescent="0.3">
      <c r="A63" s="25" t="s">
        <v>74</v>
      </c>
      <c r="B63" s="26" t="s">
        <v>313</v>
      </c>
      <c r="C63" s="27" t="s">
        <v>695</v>
      </c>
      <c r="D63" s="27" t="s">
        <v>272</v>
      </c>
      <c r="E63" s="26" t="s">
        <v>504</v>
      </c>
      <c r="F63" s="26" t="s">
        <v>504</v>
      </c>
      <c r="G63" s="28">
        <v>7.3611111111111107</v>
      </c>
      <c r="H63" s="28">
        <v>0</v>
      </c>
      <c r="I63" s="29">
        <v>0</v>
      </c>
      <c r="J63" s="29">
        <v>0</v>
      </c>
      <c r="K63" s="29">
        <v>0</v>
      </c>
      <c r="L63" s="29">
        <v>552</v>
      </c>
      <c r="M63" s="29">
        <v>552</v>
      </c>
      <c r="N63" s="29">
        <v>552</v>
      </c>
      <c r="O63" s="29">
        <v>0</v>
      </c>
      <c r="P63" s="29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91.516666666666666</v>
      </c>
      <c r="AA63" s="27">
        <v>155.12777777777777</v>
      </c>
      <c r="AB63" s="27">
        <v>159.94999999999999</v>
      </c>
      <c r="AC63" s="27">
        <v>136.46111111111111</v>
      </c>
      <c r="AD63" s="27">
        <v>0</v>
      </c>
      <c r="AE63" s="27">
        <v>0</v>
      </c>
      <c r="AF63" s="27">
        <v>543.05555555555554</v>
      </c>
      <c r="AG63" s="27">
        <v>0</v>
      </c>
      <c r="AH63" s="27">
        <v>543.05555555555554</v>
      </c>
      <c r="AI63" s="27">
        <v>543.05555555555554</v>
      </c>
      <c r="AJ63" s="28">
        <v>8.3111111111111118</v>
      </c>
      <c r="AK63" s="28">
        <v>0</v>
      </c>
      <c r="AL63" s="28">
        <v>8.3111111111111118</v>
      </c>
      <c r="AM63" s="29">
        <v>0</v>
      </c>
      <c r="AN63" s="35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T63" s="27">
        <v>0</v>
      </c>
      <c r="AU63" s="27">
        <v>0</v>
      </c>
      <c r="AV63" s="27">
        <v>123</v>
      </c>
      <c r="AW63" s="27">
        <v>127</v>
      </c>
      <c r="AX63" s="27">
        <v>141</v>
      </c>
      <c r="AY63" s="27">
        <v>157</v>
      </c>
      <c r="AZ63" s="27">
        <v>0</v>
      </c>
      <c r="BA63" s="27">
        <v>0</v>
      </c>
      <c r="BB63" s="27">
        <v>548</v>
      </c>
      <c r="BC63" s="27">
        <v>0</v>
      </c>
      <c r="BD63" s="27">
        <v>548</v>
      </c>
      <c r="BE63" s="27">
        <v>548</v>
      </c>
      <c r="BF63" s="27">
        <v>0</v>
      </c>
      <c r="BG63" s="27">
        <v>0</v>
      </c>
      <c r="BH63" s="27">
        <v>1</v>
      </c>
      <c r="BI63" s="27">
        <v>98</v>
      </c>
      <c r="BJ63" s="27">
        <v>13</v>
      </c>
      <c r="BK63" s="29">
        <v>0</v>
      </c>
      <c r="BL63" s="29">
        <v>13</v>
      </c>
      <c r="BM63" s="29">
        <v>14</v>
      </c>
      <c r="BN63" s="30">
        <v>9.1395729759984279E-2</v>
      </c>
      <c r="BO63" s="31">
        <v>31.563000000000002</v>
      </c>
      <c r="BP63" s="31">
        <v>28.963000000000001</v>
      </c>
      <c r="BQ63" s="31">
        <v>28.963000000000001</v>
      </c>
      <c r="BR63" s="31">
        <v>31.563000000000006</v>
      </c>
      <c r="BS63" s="32">
        <v>0</v>
      </c>
      <c r="BT63" s="32">
        <v>0</v>
      </c>
      <c r="BU63" s="33">
        <v>0</v>
      </c>
      <c r="BV63" s="33">
        <v>0</v>
      </c>
      <c r="BW63" s="33">
        <v>0</v>
      </c>
      <c r="BX63" s="33">
        <v>0</v>
      </c>
      <c r="BY63" s="33">
        <v>0</v>
      </c>
      <c r="BZ63" s="33">
        <v>0</v>
      </c>
      <c r="CA63" s="33">
        <v>0</v>
      </c>
      <c r="CB63" s="33">
        <v>0</v>
      </c>
      <c r="CC63" s="33">
        <v>0</v>
      </c>
      <c r="CD63" s="33">
        <v>0</v>
      </c>
      <c r="CE63" s="33">
        <v>0</v>
      </c>
      <c r="CF63" s="33">
        <v>0</v>
      </c>
      <c r="CG63" s="33">
        <v>118.88333333333334</v>
      </c>
      <c r="CH63" s="33">
        <v>126.35</v>
      </c>
      <c r="CI63" s="33">
        <v>138.51666666666668</v>
      </c>
      <c r="CJ63" s="33">
        <v>152.75</v>
      </c>
      <c r="CK63" s="33">
        <v>0</v>
      </c>
      <c r="CL63" s="33">
        <v>0</v>
      </c>
      <c r="CM63" s="33">
        <v>536.5</v>
      </c>
      <c r="CN63" s="33">
        <v>0</v>
      </c>
      <c r="CO63" s="33">
        <v>536.5</v>
      </c>
      <c r="CP63" s="33">
        <v>536.5</v>
      </c>
      <c r="CQ63" s="33">
        <v>9.5333333333333297</v>
      </c>
      <c r="CR63" s="33">
        <v>0</v>
      </c>
      <c r="CS63" s="33">
        <v>9.5333333333333297</v>
      </c>
      <c r="CT63" s="33">
        <v>0</v>
      </c>
      <c r="CU63" s="33">
        <v>0</v>
      </c>
      <c r="CV63" s="32">
        <v>0</v>
      </c>
      <c r="CW63" s="32">
        <v>0</v>
      </c>
      <c r="CX63" s="32">
        <v>0</v>
      </c>
      <c r="CY63" s="32">
        <v>0</v>
      </c>
      <c r="CZ63" s="32">
        <v>0</v>
      </c>
      <c r="DA63" s="32">
        <v>0</v>
      </c>
      <c r="DB63" s="32">
        <v>0</v>
      </c>
      <c r="DC63" s="32">
        <v>0</v>
      </c>
      <c r="DD63" s="32">
        <v>0</v>
      </c>
      <c r="DE63" s="32">
        <v>0</v>
      </c>
      <c r="DF63" s="32">
        <v>103</v>
      </c>
      <c r="DG63" s="32">
        <v>145</v>
      </c>
      <c r="DH63" s="32">
        <v>125</v>
      </c>
      <c r="DI63" s="32">
        <v>136</v>
      </c>
      <c r="DJ63" s="32">
        <v>0</v>
      </c>
      <c r="DK63" s="32">
        <v>0</v>
      </c>
      <c r="DL63" s="32">
        <v>509</v>
      </c>
      <c r="DM63" s="32">
        <v>0</v>
      </c>
      <c r="DN63" s="32">
        <v>509</v>
      </c>
      <c r="DO63" s="32">
        <v>509</v>
      </c>
      <c r="DP63" s="32">
        <v>1</v>
      </c>
      <c r="DQ63" s="32">
        <v>102</v>
      </c>
      <c r="DR63" s="32">
        <v>12</v>
      </c>
      <c r="DS63" s="32">
        <v>0</v>
      </c>
      <c r="DT63" s="32">
        <v>12</v>
      </c>
      <c r="DU63" s="32">
        <v>19</v>
      </c>
      <c r="DV63" s="33">
        <v>28.8</v>
      </c>
      <c r="DW63" s="33">
        <v>27.2</v>
      </c>
      <c r="DX63" s="33">
        <v>0</v>
      </c>
      <c r="DY63" s="33">
        <v>20.6</v>
      </c>
      <c r="DZ63" s="33">
        <v>0</v>
      </c>
      <c r="EA63" s="33">
        <v>29</v>
      </c>
      <c r="EB63" s="34">
        <v>9.886512991608537E-2</v>
      </c>
      <c r="EC63" s="32"/>
      <c r="ED63" s="32">
        <v>0</v>
      </c>
      <c r="EE63" s="32">
        <v>508</v>
      </c>
      <c r="EF63" s="32">
        <v>0</v>
      </c>
      <c r="EG63" s="32">
        <v>0</v>
      </c>
      <c r="EH63" s="32">
        <v>508</v>
      </c>
      <c r="EI63" s="32">
        <v>508</v>
      </c>
      <c r="EJ63" s="32">
        <v>0</v>
      </c>
      <c r="EK63" s="32">
        <v>9</v>
      </c>
      <c r="EL63" s="32">
        <v>9</v>
      </c>
      <c r="EM63" s="32">
        <v>9</v>
      </c>
      <c r="EN63" s="32">
        <v>0</v>
      </c>
      <c r="EO63" s="32">
        <v>0</v>
      </c>
      <c r="EP63" s="33">
        <v>0</v>
      </c>
      <c r="EQ63" s="33">
        <v>0</v>
      </c>
      <c r="ER63" s="33">
        <v>3</v>
      </c>
      <c r="ES63" s="33">
        <v>1</v>
      </c>
      <c r="ET63" s="33">
        <v>4</v>
      </c>
      <c r="EU63" s="33">
        <v>8</v>
      </c>
    </row>
    <row r="64" spans="1:151" ht="41.4" x14ac:dyDescent="0.3">
      <c r="A64" s="25" t="s">
        <v>90</v>
      </c>
      <c r="B64" s="26" t="s">
        <v>327</v>
      </c>
      <c r="C64" s="27" t="s">
        <v>91</v>
      </c>
      <c r="D64" s="27" t="s">
        <v>272</v>
      </c>
      <c r="E64" s="26" t="s">
        <v>504</v>
      </c>
      <c r="F64" s="26" t="s">
        <v>504</v>
      </c>
      <c r="G64" s="28">
        <v>56.666666666666664</v>
      </c>
      <c r="H64" s="28">
        <v>0</v>
      </c>
      <c r="I64" s="29">
        <v>56</v>
      </c>
      <c r="J64" s="29">
        <v>306</v>
      </c>
      <c r="K64" s="29">
        <v>0</v>
      </c>
      <c r="L64" s="29">
        <v>0</v>
      </c>
      <c r="M64" s="29">
        <v>362</v>
      </c>
      <c r="N64" s="29">
        <v>306</v>
      </c>
      <c r="O64" s="29">
        <v>362</v>
      </c>
      <c r="P64" s="29">
        <v>0</v>
      </c>
      <c r="Q64" s="27">
        <v>55.95</v>
      </c>
      <c r="R64" s="27">
        <v>59.033333333333331</v>
      </c>
      <c r="S64" s="27">
        <v>58.461111111111109</v>
      </c>
      <c r="T64" s="27">
        <v>54.944444444444443</v>
      </c>
      <c r="U64" s="27">
        <v>57.35</v>
      </c>
      <c r="V64" s="27">
        <v>37.822222222222223</v>
      </c>
      <c r="W64" s="27">
        <v>40.633333333333333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308.24444444444441</v>
      </c>
      <c r="AE64" s="27">
        <v>0</v>
      </c>
      <c r="AF64" s="27">
        <v>0</v>
      </c>
      <c r="AG64" s="27">
        <v>364.19444444444446</v>
      </c>
      <c r="AH64" s="27">
        <v>308.24444444444441</v>
      </c>
      <c r="AI64" s="27">
        <v>364.19444444444446</v>
      </c>
      <c r="AJ64" s="28">
        <v>53.594444444444441</v>
      </c>
      <c r="AK64" s="28">
        <v>0</v>
      </c>
      <c r="AL64" s="28">
        <v>53.594444444444441</v>
      </c>
      <c r="AM64" s="29">
        <v>74</v>
      </c>
      <c r="AN64" s="35">
        <v>62</v>
      </c>
      <c r="AO64" s="27">
        <v>63</v>
      </c>
      <c r="AP64" s="27">
        <v>59</v>
      </c>
      <c r="AQ64" s="27">
        <v>60</v>
      </c>
      <c r="AR64" s="27">
        <v>58</v>
      </c>
      <c r="AS64" s="27">
        <v>34</v>
      </c>
      <c r="AT64" s="27">
        <v>0</v>
      </c>
      <c r="AU64" s="27">
        <v>0</v>
      </c>
      <c r="AV64" s="27">
        <v>0</v>
      </c>
      <c r="AW64" s="27">
        <v>0</v>
      </c>
      <c r="AX64" s="27">
        <v>0</v>
      </c>
      <c r="AY64" s="27">
        <v>0</v>
      </c>
      <c r="AZ64" s="27">
        <v>336</v>
      </c>
      <c r="BA64" s="27">
        <v>0</v>
      </c>
      <c r="BB64" s="27">
        <v>0</v>
      </c>
      <c r="BC64" s="27">
        <v>410</v>
      </c>
      <c r="BD64" s="27">
        <v>336</v>
      </c>
      <c r="BE64" s="27">
        <v>410</v>
      </c>
      <c r="BF64" s="27">
        <v>52</v>
      </c>
      <c r="BG64" s="27">
        <v>22</v>
      </c>
      <c r="BH64" s="27">
        <v>0</v>
      </c>
      <c r="BI64" s="27">
        <v>80</v>
      </c>
      <c r="BJ64" s="27">
        <v>53</v>
      </c>
      <c r="BK64" s="29">
        <v>0</v>
      </c>
      <c r="BL64" s="29">
        <v>53</v>
      </c>
      <c r="BM64" s="29">
        <v>26</v>
      </c>
      <c r="BN64" s="30">
        <v>9.0217391304347805E-2</v>
      </c>
      <c r="BO64" s="31">
        <v>22.864000000000001</v>
      </c>
      <c r="BP64" s="31">
        <v>21.864000000000001</v>
      </c>
      <c r="BQ64" s="31">
        <v>20.864000000000001</v>
      </c>
      <c r="BR64" s="31">
        <v>22.864000000000001</v>
      </c>
      <c r="BS64" s="32">
        <v>0</v>
      </c>
      <c r="BT64" s="32">
        <v>0</v>
      </c>
      <c r="BU64" s="33">
        <v>0</v>
      </c>
      <c r="BV64" s="33">
        <v>21.566666000000001</v>
      </c>
      <c r="BW64" s="33">
        <v>49.461111000000002</v>
      </c>
      <c r="BX64" s="33">
        <v>71.027777777777771</v>
      </c>
      <c r="BY64" s="33">
        <v>61.322222222222223</v>
      </c>
      <c r="BZ64" s="33">
        <v>62.394444444444446</v>
      </c>
      <c r="CA64" s="33">
        <v>59.472222222222221</v>
      </c>
      <c r="CB64" s="33">
        <v>59.611111111111114</v>
      </c>
      <c r="CC64" s="33">
        <v>55.333333333333336</v>
      </c>
      <c r="CD64" s="33">
        <v>34.56666666666667</v>
      </c>
      <c r="CE64" s="33">
        <v>0</v>
      </c>
      <c r="CF64" s="33">
        <v>0</v>
      </c>
      <c r="CG64" s="33">
        <v>0</v>
      </c>
      <c r="CH64" s="33">
        <v>0</v>
      </c>
      <c r="CI64" s="33">
        <v>0</v>
      </c>
      <c r="CJ64" s="33">
        <v>0</v>
      </c>
      <c r="CK64" s="33">
        <v>332.7</v>
      </c>
      <c r="CL64" s="33">
        <v>0</v>
      </c>
      <c r="CM64" s="33">
        <v>0</v>
      </c>
      <c r="CN64" s="33">
        <v>403.72777777777776</v>
      </c>
      <c r="CO64" s="33">
        <v>332.7</v>
      </c>
      <c r="CP64" s="33">
        <v>403.72777777777776</v>
      </c>
      <c r="CQ64" s="33">
        <v>51.788888888888899</v>
      </c>
      <c r="CR64" s="33">
        <v>1</v>
      </c>
      <c r="CS64" s="33">
        <v>52.788888888888899</v>
      </c>
      <c r="CT64" s="33">
        <v>0</v>
      </c>
      <c r="CU64" s="33">
        <v>80</v>
      </c>
      <c r="CV64" s="32">
        <v>6</v>
      </c>
      <c r="CW64" s="32">
        <v>86</v>
      </c>
      <c r="CX64" s="32">
        <v>64</v>
      </c>
      <c r="CY64" s="32">
        <v>58</v>
      </c>
      <c r="CZ64" s="32">
        <v>65</v>
      </c>
      <c r="DA64" s="32">
        <v>49</v>
      </c>
      <c r="DB64" s="32">
        <v>51</v>
      </c>
      <c r="DC64" s="32">
        <v>47</v>
      </c>
      <c r="DD64" s="32">
        <v>0</v>
      </c>
      <c r="DE64" s="32">
        <v>0</v>
      </c>
      <c r="DF64" s="32">
        <v>0</v>
      </c>
      <c r="DG64" s="32">
        <v>0</v>
      </c>
      <c r="DH64" s="32">
        <v>0</v>
      </c>
      <c r="DI64" s="32">
        <v>0</v>
      </c>
      <c r="DJ64" s="32">
        <v>334</v>
      </c>
      <c r="DK64" s="32">
        <v>0</v>
      </c>
      <c r="DL64" s="32">
        <v>0</v>
      </c>
      <c r="DM64" s="32">
        <v>420</v>
      </c>
      <c r="DN64" s="32">
        <v>334</v>
      </c>
      <c r="DO64" s="32">
        <v>420</v>
      </c>
      <c r="DP64" s="32">
        <v>0</v>
      </c>
      <c r="DQ64" s="32">
        <v>75</v>
      </c>
      <c r="DR64" s="32">
        <v>29</v>
      </c>
      <c r="DS64" s="32">
        <v>0</v>
      </c>
      <c r="DT64" s="32">
        <v>29</v>
      </c>
      <c r="DU64" s="32">
        <v>19</v>
      </c>
      <c r="DV64" s="33">
        <v>24.625</v>
      </c>
      <c r="DW64" s="33">
        <v>23.625</v>
      </c>
      <c r="DX64" s="33">
        <v>20.625</v>
      </c>
      <c r="DY64" s="33">
        <v>1</v>
      </c>
      <c r="DZ64" s="33">
        <v>0</v>
      </c>
      <c r="EA64" s="33">
        <v>28.625</v>
      </c>
      <c r="EB64" s="34">
        <v>8.679378531073445E-2</v>
      </c>
      <c r="EC64" s="32"/>
      <c r="ED64" s="32">
        <v>74</v>
      </c>
      <c r="EE64" s="32">
        <v>342</v>
      </c>
      <c r="EF64" s="32">
        <v>342</v>
      </c>
      <c r="EG64" s="32">
        <v>0</v>
      </c>
      <c r="EH64" s="32">
        <v>0</v>
      </c>
      <c r="EI64" s="32">
        <v>416</v>
      </c>
      <c r="EJ64" s="32">
        <v>0</v>
      </c>
      <c r="EK64" s="32">
        <v>47</v>
      </c>
      <c r="EL64" s="32">
        <v>47</v>
      </c>
      <c r="EM64" s="32">
        <v>47</v>
      </c>
      <c r="EN64" s="32">
        <v>0</v>
      </c>
      <c r="EO64" s="32">
        <v>0</v>
      </c>
      <c r="EP64" s="33">
        <v>8.6110000000000007</v>
      </c>
      <c r="EQ64" s="33">
        <v>1</v>
      </c>
      <c r="ER64" s="33">
        <v>3.2949999999999999</v>
      </c>
      <c r="ES64" s="33">
        <v>0.59399999999999997</v>
      </c>
      <c r="ET64" s="33">
        <v>1.3759999999999999</v>
      </c>
      <c r="EU64" s="33">
        <v>14.875999999999999</v>
      </c>
    </row>
    <row r="65" spans="1:151" ht="27.6" x14ac:dyDescent="0.3">
      <c r="A65" s="25" t="s">
        <v>106</v>
      </c>
      <c r="B65" s="26" t="s">
        <v>342</v>
      </c>
      <c r="C65" s="27" t="s">
        <v>107</v>
      </c>
      <c r="D65" s="27" t="s">
        <v>272</v>
      </c>
      <c r="E65" s="26" t="s">
        <v>504</v>
      </c>
      <c r="F65" s="26" t="s">
        <v>504</v>
      </c>
      <c r="G65" s="28">
        <v>73.422222222222217</v>
      </c>
      <c r="H65" s="28">
        <v>8.2888888888888896</v>
      </c>
      <c r="I65" s="29">
        <v>96</v>
      </c>
      <c r="J65" s="29">
        <v>582</v>
      </c>
      <c r="K65" s="29">
        <v>64</v>
      </c>
      <c r="L65" s="29">
        <v>26</v>
      </c>
      <c r="M65" s="29">
        <v>768</v>
      </c>
      <c r="N65" s="29">
        <v>672</v>
      </c>
      <c r="O65" s="29">
        <v>742</v>
      </c>
      <c r="P65" s="29">
        <v>8</v>
      </c>
      <c r="Q65" s="27">
        <v>95.538888888888891</v>
      </c>
      <c r="R65" s="27">
        <v>97.794444444444451</v>
      </c>
      <c r="S65" s="27">
        <v>102.63888888888889</v>
      </c>
      <c r="T65" s="27">
        <v>99.955555555555549</v>
      </c>
      <c r="U65" s="27">
        <v>102.56666666666666</v>
      </c>
      <c r="V65" s="27">
        <v>81.405555555555551</v>
      </c>
      <c r="W65" s="27">
        <v>91.75</v>
      </c>
      <c r="X65" s="27">
        <v>31.005555555555556</v>
      </c>
      <c r="Y65" s="27">
        <v>32.483333333333334</v>
      </c>
      <c r="Z65" s="27">
        <v>24.65</v>
      </c>
      <c r="AA65" s="27">
        <v>0</v>
      </c>
      <c r="AB65" s="27">
        <v>0</v>
      </c>
      <c r="AC65" s="27">
        <v>0</v>
      </c>
      <c r="AD65" s="27">
        <v>576.11111111111109</v>
      </c>
      <c r="AE65" s="27">
        <v>63.488888888888894</v>
      </c>
      <c r="AF65" s="27">
        <v>24.65</v>
      </c>
      <c r="AG65" s="27">
        <v>735.13888888888891</v>
      </c>
      <c r="AH65" s="27">
        <v>664.25</v>
      </c>
      <c r="AI65" s="27">
        <v>759.78888888888889</v>
      </c>
      <c r="AJ65" s="28">
        <v>76.905555555555551</v>
      </c>
      <c r="AK65" s="28">
        <v>7.4666666666666668</v>
      </c>
      <c r="AL65" s="28">
        <v>84.37222222222222</v>
      </c>
      <c r="AM65" s="29">
        <v>105</v>
      </c>
      <c r="AN65" s="35">
        <v>109</v>
      </c>
      <c r="AO65" s="27">
        <v>88</v>
      </c>
      <c r="AP65" s="27">
        <v>92</v>
      </c>
      <c r="AQ65" s="27">
        <v>106</v>
      </c>
      <c r="AR65" s="27">
        <v>96</v>
      </c>
      <c r="AS65" s="27">
        <v>82</v>
      </c>
      <c r="AT65" s="27">
        <v>54</v>
      </c>
      <c r="AU65" s="27">
        <v>32</v>
      </c>
      <c r="AV65" s="27">
        <v>24</v>
      </c>
      <c r="AW65" s="27">
        <v>0</v>
      </c>
      <c r="AX65" s="27">
        <v>0</v>
      </c>
      <c r="AY65" s="27">
        <v>0</v>
      </c>
      <c r="AZ65" s="27">
        <v>573</v>
      </c>
      <c r="BA65" s="27">
        <v>86</v>
      </c>
      <c r="BB65" s="27">
        <v>24</v>
      </c>
      <c r="BC65" s="27">
        <v>764</v>
      </c>
      <c r="BD65" s="27">
        <v>683</v>
      </c>
      <c r="BE65" s="27">
        <v>788</v>
      </c>
      <c r="BF65" s="27">
        <v>67</v>
      </c>
      <c r="BG65" s="27">
        <v>38</v>
      </c>
      <c r="BH65" s="27">
        <v>0</v>
      </c>
      <c r="BI65" s="27">
        <v>97</v>
      </c>
      <c r="BJ65" s="27">
        <v>87</v>
      </c>
      <c r="BK65" s="29">
        <v>8</v>
      </c>
      <c r="BL65" s="29">
        <v>95</v>
      </c>
      <c r="BM65" s="29">
        <v>8</v>
      </c>
      <c r="BN65" s="30">
        <v>6.4017059766430018E-2</v>
      </c>
      <c r="BO65" s="31">
        <v>52.606999999999999</v>
      </c>
      <c r="BP65" s="31">
        <v>52.606999999999999</v>
      </c>
      <c r="BQ65" s="31">
        <v>51.856999999999999</v>
      </c>
      <c r="BR65" s="31">
        <v>51.857000000000006</v>
      </c>
      <c r="BS65" s="32">
        <v>0</v>
      </c>
      <c r="BT65" s="32">
        <v>0</v>
      </c>
      <c r="BU65" s="33">
        <v>0</v>
      </c>
      <c r="BV65" s="33">
        <v>37.166665999999999</v>
      </c>
      <c r="BW65" s="33">
        <v>66.561110999999997</v>
      </c>
      <c r="BX65" s="33">
        <v>103.72777777777777</v>
      </c>
      <c r="BY65" s="33">
        <v>106.37777777777778</v>
      </c>
      <c r="BZ65" s="33">
        <v>82.466666666666669</v>
      </c>
      <c r="CA65" s="33">
        <v>89.922222222222217</v>
      </c>
      <c r="CB65" s="33">
        <v>104.04444444444445</v>
      </c>
      <c r="CC65" s="33">
        <v>92.694444444444443</v>
      </c>
      <c r="CD65" s="33">
        <v>80.944444444444443</v>
      </c>
      <c r="CE65" s="33">
        <v>54.755555555555553</v>
      </c>
      <c r="CF65" s="33">
        <v>32.116666666666667</v>
      </c>
      <c r="CG65" s="33">
        <v>23.894444444444446</v>
      </c>
      <c r="CH65" s="33">
        <v>0</v>
      </c>
      <c r="CI65" s="33">
        <v>0</v>
      </c>
      <c r="CJ65" s="33">
        <v>0</v>
      </c>
      <c r="CK65" s="33">
        <v>556.45000000000005</v>
      </c>
      <c r="CL65" s="33">
        <v>86.87222222222222</v>
      </c>
      <c r="CM65" s="33">
        <v>23.894444444444446</v>
      </c>
      <c r="CN65" s="33">
        <v>747.05000000000007</v>
      </c>
      <c r="CO65" s="33">
        <v>667.2166666666667</v>
      </c>
      <c r="CP65" s="33">
        <v>770.94444444444457</v>
      </c>
      <c r="CQ65" s="33">
        <v>84.261111111111106</v>
      </c>
      <c r="CR65" s="33">
        <v>8.1999999999999993</v>
      </c>
      <c r="CS65" s="33">
        <v>92.461111111111109</v>
      </c>
      <c r="CT65" s="33">
        <v>0</v>
      </c>
      <c r="CU65" s="33">
        <v>56</v>
      </c>
      <c r="CV65" s="32">
        <v>32</v>
      </c>
      <c r="CW65" s="32">
        <v>88</v>
      </c>
      <c r="CX65" s="32">
        <v>105</v>
      </c>
      <c r="CY65" s="32">
        <v>97</v>
      </c>
      <c r="CZ65" s="32">
        <v>75</v>
      </c>
      <c r="DA65" s="32">
        <v>89</v>
      </c>
      <c r="DB65" s="32">
        <v>95</v>
      </c>
      <c r="DC65" s="32">
        <v>96</v>
      </c>
      <c r="DD65" s="32">
        <v>24</v>
      </c>
      <c r="DE65" s="32">
        <v>49</v>
      </c>
      <c r="DF65" s="32">
        <v>24</v>
      </c>
      <c r="DG65" s="32">
        <v>0</v>
      </c>
      <c r="DH65" s="32">
        <v>0</v>
      </c>
      <c r="DI65" s="32">
        <v>0</v>
      </c>
      <c r="DJ65" s="32">
        <v>557</v>
      </c>
      <c r="DK65" s="32">
        <v>73</v>
      </c>
      <c r="DL65" s="32">
        <v>24</v>
      </c>
      <c r="DM65" s="32">
        <v>718</v>
      </c>
      <c r="DN65" s="32">
        <v>654</v>
      </c>
      <c r="DO65" s="32">
        <v>742</v>
      </c>
      <c r="DP65" s="32">
        <v>0</v>
      </c>
      <c r="DQ65" s="32">
        <v>79</v>
      </c>
      <c r="DR65" s="32">
        <v>69</v>
      </c>
      <c r="DS65" s="32">
        <v>8</v>
      </c>
      <c r="DT65" s="32">
        <v>77</v>
      </c>
      <c r="DU65" s="32">
        <v>6</v>
      </c>
      <c r="DV65" s="33">
        <v>51.905000000000001</v>
      </c>
      <c r="DW65" s="33">
        <v>51.905000000000001</v>
      </c>
      <c r="DX65" s="33">
        <v>38.162000000000006</v>
      </c>
      <c r="DY65" s="33">
        <v>10.57</v>
      </c>
      <c r="DZ65" s="33">
        <v>0</v>
      </c>
      <c r="EA65" s="33">
        <v>52.904999999999994</v>
      </c>
      <c r="EB65" s="34">
        <v>6.3481600910470393E-2</v>
      </c>
      <c r="EC65" s="32"/>
      <c r="ED65" s="32">
        <v>96</v>
      </c>
      <c r="EE65" s="32">
        <v>645</v>
      </c>
      <c r="EF65" s="32">
        <v>552</v>
      </c>
      <c r="EG65" s="32">
        <v>69</v>
      </c>
      <c r="EH65" s="32">
        <v>24</v>
      </c>
      <c r="EI65" s="32">
        <v>741</v>
      </c>
      <c r="EJ65" s="32">
        <v>0</v>
      </c>
      <c r="EK65" s="32">
        <v>89</v>
      </c>
      <c r="EL65" s="32">
        <v>89</v>
      </c>
      <c r="EM65" s="32">
        <v>83</v>
      </c>
      <c r="EN65" s="32">
        <v>6</v>
      </c>
      <c r="EO65" s="32">
        <v>35</v>
      </c>
      <c r="EP65" s="33">
        <v>7.5</v>
      </c>
      <c r="EQ65" s="33">
        <v>0.75</v>
      </c>
      <c r="ER65" s="33">
        <v>2</v>
      </c>
      <c r="ES65" s="33">
        <v>0</v>
      </c>
      <c r="ET65" s="33">
        <v>3.5</v>
      </c>
      <c r="EU65" s="33">
        <v>13.75</v>
      </c>
    </row>
    <row r="66" spans="1:151" ht="55.2" x14ac:dyDescent="0.3">
      <c r="A66" s="25" t="s">
        <v>123</v>
      </c>
      <c r="B66" s="26" t="s">
        <v>358</v>
      </c>
      <c r="C66" s="27" t="s">
        <v>696</v>
      </c>
      <c r="D66" s="27" t="s">
        <v>272</v>
      </c>
      <c r="E66" s="26" t="s">
        <v>504</v>
      </c>
      <c r="F66" s="26" t="s">
        <v>504</v>
      </c>
      <c r="G66" s="28">
        <v>17.294444444444444</v>
      </c>
      <c r="H66" s="28">
        <v>1.7666666666666666</v>
      </c>
      <c r="I66" s="29">
        <v>50</v>
      </c>
      <c r="J66" s="29">
        <v>236</v>
      </c>
      <c r="K66" s="29">
        <v>0</v>
      </c>
      <c r="L66" s="29">
        <v>0</v>
      </c>
      <c r="M66" s="29">
        <v>286</v>
      </c>
      <c r="N66" s="29">
        <v>236</v>
      </c>
      <c r="O66" s="29">
        <v>286</v>
      </c>
      <c r="P66" s="29">
        <v>1</v>
      </c>
      <c r="Q66" s="27">
        <v>48.494444444444447</v>
      </c>
      <c r="R66" s="27">
        <v>44.255555555555553</v>
      </c>
      <c r="S66" s="27">
        <v>46.355555555555554</v>
      </c>
      <c r="T66" s="27">
        <v>46.261111111111113</v>
      </c>
      <c r="U66" s="27">
        <v>39.31666666666667</v>
      </c>
      <c r="V66" s="27">
        <v>30.488888888888887</v>
      </c>
      <c r="W66" s="27">
        <v>23.43888888888889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230.11666666666667</v>
      </c>
      <c r="AE66" s="27">
        <v>0</v>
      </c>
      <c r="AF66" s="27">
        <v>0</v>
      </c>
      <c r="AG66" s="27">
        <v>278.61111111111109</v>
      </c>
      <c r="AH66" s="27">
        <v>230.11666666666667</v>
      </c>
      <c r="AI66" s="27">
        <v>278.61111111111109</v>
      </c>
      <c r="AJ66" s="28">
        <v>21.927777777777777</v>
      </c>
      <c r="AK66" s="28">
        <v>1</v>
      </c>
      <c r="AL66" s="28">
        <v>22.927777777777777</v>
      </c>
      <c r="AM66" s="29">
        <v>50</v>
      </c>
      <c r="AN66" s="35">
        <v>44</v>
      </c>
      <c r="AO66" s="27">
        <v>43</v>
      </c>
      <c r="AP66" s="27">
        <v>43</v>
      </c>
      <c r="AQ66" s="27">
        <v>47</v>
      </c>
      <c r="AR66" s="27">
        <v>36</v>
      </c>
      <c r="AS66" s="27">
        <v>28</v>
      </c>
      <c r="AT66" s="27">
        <v>0</v>
      </c>
      <c r="AU66" s="27">
        <v>0</v>
      </c>
      <c r="AV66" s="27">
        <v>0</v>
      </c>
      <c r="AW66" s="27">
        <v>0</v>
      </c>
      <c r="AX66" s="27">
        <v>0</v>
      </c>
      <c r="AY66" s="27">
        <v>0</v>
      </c>
      <c r="AZ66" s="27">
        <v>241</v>
      </c>
      <c r="BA66" s="27">
        <v>0</v>
      </c>
      <c r="BB66" s="27">
        <v>0</v>
      </c>
      <c r="BC66" s="27">
        <v>291</v>
      </c>
      <c r="BD66" s="27">
        <v>241</v>
      </c>
      <c r="BE66" s="27">
        <v>291</v>
      </c>
      <c r="BF66" s="27">
        <v>50</v>
      </c>
      <c r="BG66" s="27">
        <v>0</v>
      </c>
      <c r="BH66" s="27">
        <v>0</v>
      </c>
      <c r="BI66" s="27">
        <v>277</v>
      </c>
      <c r="BJ66" s="27">
        <v>19</v>
      </c>
      <c r="BK66" s="29">
        <v>1</v>
      </c>
      <c r="BL66" s="29">
        <v>20</v>
      </c>
      <c r="BM66" s="29">
        <v>192</v>
      </c>
      <c r="BN66" s="30">
        <v>7.718253968253963E-2</v>
      </c>
      <c r="BO66" s="31">
        <v>19.75</v>
      </c>
      <c r="BP66" s="31">
        <v>17.75</v>
      </c>
      <c r="BQ66" s="31">
        <v>16.75</v>
      </c>
      <c r="BR66" s="31">
        <v>19.75</v>
      </c>
      <c r="BS66" s="32">
        <v>0</v>
      </c>
      <c r="BT66" s="32">
        <v>0</v>
      </c>
      <c r="BU66" s="33">
        <v>0</v>
      </c>
      <c r="BV66" s="33">
        <v>0</v>
      </c>
      <c r="BW66" s="33">
        <v>49.627777000000002</v>
      </c>
      <c r="BX66" s="33">
        <v>49.62777777777778</v>
      </c>
      <c r="BY66" s="33">
        <v>41.461111111111109</v>
      </c>
      <c r="BZ66" s="33">
        <v>42.211111111111109</v>
      </c>
      <c r="CA66" s="33">
        <v>41.466666666666669</v>
      </c>
      <c r="CB66" s="33">
        <v>46.161111111111111</v>
      </c>
      <c r="CC66" s="33">
        <v>35.211111111111109</v>
      </c>
      <c r="CD66" s="33">
        <v>26.894444444444446</v>
      </c>
      <c r="CE66" s="33">
        <v>0</v>
      </c>
      <c r="CF66" s="33">
        <v>0</v>
      </c>
      <c r="CG66" s="33">
        <v>0</v>
      </c>
      <c r="CH66" s="33">
        <v>0</v>
      </c>
      <c r="CI66" s="33">
        <v>0</v>
      </c>
      <c r="CJ66" s="33">
        <v>0</v>
      </c>
      <c r="CK66" s="33">
        <v>233.40555555555557</v>
      </c>
      <c r="CL66" s="33">
        <v>0</v>
      </c>
      <c r="CM66" s="33">
        <v>0</v>
      </c>
      <c r="CN66" s="33">
        <v>283.03333333333336</v>
      </c>
      <c r="CO66" s="33">
        <v>233.40555555555557</v>
      </c>
      <c r="CP66" s="33">
        <v>283.03333333333336</v>
      </c>
      <c r="CQ66" s="33">
        <v>21.077777777777801</v>
      </c>
      <c r="CR66" s="33">
        <v>0</v>
      </c>
      <c r="CS66" s="33">
        <v>21.077777777777801</v>
      </c>
      <c r="CT66" s="33">
        <v>0</v>
      </c>
      <c r="CU66" s="33">
        <v>48</v>
      </c>
      <c r="CV66" s="32">
        <v>0</v>
      </c>
      <c r="CW66" s="32">
        <v>48</v>
      </c>
      <c r="CX66" s="32">
        <v>49</v>
      </c>
      <c r="CY66" s="32">
        <v>34</v>
      </c>
      <c r="CZ66" s="32">
        <v>46</v>
      </c>
      <c r="DA66" s="32">
        <v>38</v>
      </c>
      <c r="DB66" s="32">
        <v>46</v>
      </c>
      <c r="DC66" s="32">
        <v>31</v>
      </c>
      <c r="DD66" s="32">
        <v>0</v>
      </c>
      <c r="DE66" s="32">
        <v>0</v>
      </c>
      <c r="DF66" s="32">
        <v>0</v>
      </c>
      <c r="DG66" s="32">
        <v>0</v>
      </c>
      <c r="DH66" s="32">
        <v>0</v>
      </c>
      <c r="DI66" s="32">
        <v>0</v>
      </c>
      <c r="DJ66" s="32">
        <v>244</v>
      </c>
      <c r="DK66" s="32">
        <v>0</v>
      </c>
      <c r="DL66" s="32">
        <v>0</v>
      </c>
      <c r="DM66" s="32">
        <v>292</v>
      </c>
      <c r="DN66" s="32">
        <v>244</v>
      </c>
      <c r="DO66" s="32">
        <v>292</v>
      </c>
      <c r="DP66" s="32">
        <v>0</v>
      </c>
      <c r="DQ66" s="32">
        <v>269</v>
      </c>
      <c r="DR66" s="32">
        <v>23</v>
      </c>
      <c r="DS66" s="32">
        <v>0</v>
      </c>
      <c r="DT66" s="32">
        <v>23</v>
      </c>
      <c r="DU66" s="32">
        <v>145</v>
      </c>
      <c r="DV66" s="33">
        <v>15.895</v>
      </c>
      <c r="DW66" s="33">
        <v>13.895</v>
      </c>
      <c r="DX66" s="33">
        <v>12</v>
      </c>
      <c r="DY66" s="33">
        <v>0</v>
      </c>
      <c r="DZ66" s="33">
        <v>0</v>
      </c>
      <c r="EA66" s="33">
        <v>18.895</v>
      </c>
      <c r="EB66" s="34">
        <v>7.0799824076401119E-2</v>
      </c>
      <c r="EC66" s="32"/>
      <c r="ED66" s="32">
        <v>48</v>
      </c>
      <c r="EE66" s="32">
        <v>242</v>
      </c>
      <c r="EF66" s="32">
        <v>242</v>
      </c>
      <c r="EG66" s="32">
        <v>0</v>
      </c>
      <c r="EH66" s="32">
        <v>0</v>
      </c>
      <c r="EI66" s="32">
        <v>290</v>
      </c>
      <c r="EJ66" s="32">
        <v>0</v>
      </c>
      <c r="EK66" s="32">
        <v>26</v>
      </c>
      <c r="EL66" s="32">
        <v>26</v>
      </c>
      <c r="EM66" s="32">
        <v>25</v>
      </c>
      <c r="EN66" s="32">
        <v>1</v>
      </c>
      <c r="EO66" s="32">
        <v>2</v>
      </c>
      <c r="EP66" s="33">
        <v>14.667</v>
      </c>
      <c r="EQ66" s="33">
        <v>1</v>
      </c>
      <c r="ER66" s="33">
        <v>1.9259999999999999</v>
      </c>
      <c r="ES66" s="33">
        <v>3.7559999999999998</v>
      </c>
      <c r="ET66" s="33">
        <v>11.436999999999999</v>
      </c>
      <c r="EU66" s="33">
        <v>32.786000000000001</v>
      </c>
    </row>
    <row r="67" spans="1:151" ht="27.6" x14ac:dyDescent="0.3">
      <c r="A67" s="25" t="s">
        <v>139</v>
      </c>
      <c r="B67" s="26" t="s">
        <v>371</v>
      </c>
      <c r="C67" s="27" t="s">
        <v>140</v>
      </c>
      <c r="D67" s="27" t="s">
        <v>272</v>
      </c>
      <c r="E67" s="26" t="s">
        <v>504</v>
      </c>
      <c r="F67" s="26" t="s">
        <v>504</v>
      </c>
      <c r="G67" s="28">
        <v>136.63333333333333</v>
      </c>
      <c r="H67" s="28">
        <v>10.455555555555556</v>
      </c>
      <c r="I67" s="29">
        <v>109</v>
      </c>
      <c r="J67" s="29">
        <v>632</v>
      </c>
      <c r="K67" s="29">
        <v>194</v>
      </c>
      <c r="L67" s="29">
        <v>84</v>
      </c>
      <c r="M67" s="29">
        <v>1019</v>
      </c>
      <c r="N67" s="29">
        <v>910</v>
      </c>
      <c r="O67" s="29">
        <v>935</v>
      </c>
      <c r="P67" s="29">
        <v>10</v>
      </c>
      <c r="Q67" s="27">
        <v>107.7</v>
      </c>
      <c r="R67" s="27">
        <v>102.63888888888889</v>
      </c>
      <c r="S67" s="27">
        <v>103.59444444444445</v>
      </c>
      <c r="T67" s="27">
        <v>105.84444444444445</v>
      </c>
      <c r="U67" s="27">
        <v>103.48333333333333</v>
      </c>
      <c r="V67" s="27">
        <v>108.52777777777777</v>
      </c>
      <c r="W67" s="27">
        <v>101.19444444444444</v>
      </c>
      <c r="X67" s="27">
        <v>99.677777777777777</v>
      </c>
      <c r="Y67" s="27">
        <v>91.411111111111111</v>
      </c>
      <c r="Z67" s="27">
        <v>82.733333333333334</v>
      </c>
      <c r="AA67" s="27">
        <v>0</v>
      </c>
      <c r="AB67" s="27">
        <v>0</v>
      </c>
      <c r="AC67" s="27">
        <v>0</v>
      </c>
      <c r="AD67" s="27">
        <v>625.28333333333342</v>
      </c>
      <c r="AE67" s="27">
        <v>191.0888888888889</v>
      </c>
      <c r="AF67" s="27">
        <v>82.733333333333334</v>
      </c>
      <c r="AG67" s="27">
        <v>924.07222222222219</v>
      </c>
      <c r="AH67" s="27">
        <v>899.10555555555572</v>
      </c>
      <c r="AI67" s="27">
        <v>1006.8055555555555</v>
      </c>
      <c r="AJ67" s="28">
        <v>137.85555555555555</v>
      </c>
      <c r="AK67" s="28">
        <v>9.8333333333333339</v>
      </c>
      <c r="AL67" s="28">
        <v>147.6888888888889</v>
      </c>
      <c r="AM67" s="29">
        <v>108</v>
      </c>
      <c r="AN67" s="35">
        <v>104</v>
      </c>
      <c r="AO67" s="27">
        <v>106</v>
      </c>
      <c r="AP67" s="27">
        <v>106</v>
      </c>
      <c r="AQ67" s="27">
        <v>100</v>
      </c>
      <c r="AR67" s="27">
        <v>106</v>
      </c>
      <c r="AS67" s="27">
        <v>107</v>
      </c>
      <c r="AT67" s="27">
        <v>96</v>
      </c>
      <c r="AU67" s="27">
        <v>93</v>
      </c>
      <c r="AV67" s="27">
        <v>85</v>
      </c>
      <c r="AW67" s="27">
        <v>0</v>
      </c>
      <c r="AX67" s="27">
        <v>0</v>
      </c>
      <c r="AY67" s="27">
        <v>0</v>
      </c>
      <c r="AZ67" s="27">
        <v>629</v>
      </c>
      <c r="BA67" s="27">
        <v>189</v>
      </c>
      <c r="BB67" s="27">
        <v>85</v>
      </c>
      <c r="BC67" s="27">
        <v>926</v>
      </c>
      <c r="BD67" s="27">
        <v>903</v>
      </c>
      <c r="BE67" s="27">
        <v>1011</v>
      </c>
      <c r="BF67" s="27">
        <v>88</v>
      </c>
      <c r="BG67" s="27">
        <v>20</v>
      </c>
      <c r="BH67" s="27">
        <v>0</v>
      </c>
      <c r="BI67" s="27">
        <v>181</v>
      </c>
      <c r="BJ67" s="27">
        <v>141</v>
      </c>
      <c r="BK67" s="29">
        <v>10</v>
      </c>
      <c r="BL67" s="29">
        <v>151</v>
      </c>
      <c r="BM67" s="29">
        <v>6</v>
      </c>
      <c r="BN67" s="30">
        <v>6.4367089373442099E-2</v>
      </c>
      <c r="BO67" s="31">
        <v>47.724999999999994</v>
      </c>
      <c r="BP67" s="31">
        <v>45.724999999999994</v>
      </c>
      <c r="BQ67" s="31">
        <v>45.324999999999996</v>
      </c>
      <c r="BR67" s="31">
        <v>49.215000000000003</v>
      </c>
      <c r="BS67" s="32">
        <v>0</v>
      </c>
      <c r="BT67" s="32">
        <v>0</v>
      </c>
      <c r="BU67" s="33">
        <v>0</v>
      </c>
      <c r="BV67" s="33">
        <v>21.088888000000001</v>
      </c>
      <c r="BW67" s="33">
        <v>84.566665999999998</v>
      </c>
      <c r="BX67" s="33">
        <v>105.65555555555555</v>
      </c>
      <c r="BY67" s="33">
        <v>104.06111111111112</v>
      </c>
      <c r="BZ67" s="33">
        <v>104.56666666666666</v>
      </c>
      <c r="CA67" s="33">
        <v>103.59444444444445</v>
      </c>
      <c r="CB67" s="33">
        <v>98.45</v>
      </c>
      <c r="CC67" s="33">
        <v>104.01666666666667</v>
      </c>
      <c r="CD67" s="33">
        <v>105.82222222222222</v>
      </c>
      <c r="CE67" s="33">
        <v>93.716666666666669</v>
      </c>
      <c r="CF67" s="33">
        <v>89.7</v>
      </c>
      <c r="CG67" s="33">
        <v>83.172222222222217</v>
      </c>
      <c r="CH67" s="33">
        <v>0</v>
      </c>
      <c r="CI67" s="33">
        <v>0</v>
      </c>
      <c r="CJ67" s="33">
        <v>0</v>
      </c>
      <c r="CK67" s="33">
        <v>620.51111111111106</v>
      </c>
      <c r="CL67" s="33">
        <v>183.41666666666669</v>
      </c>
      <c r="CM67" s="33">
        <v>83.172222222222217</v>
      </c>
      <c r="CN67" s="33">
        <v>909.58333333333337</v>
      </c>
      <c r="CO67" s="33">
        <v>887.1</v>
      </c>
      <c r="CP67" s="33">
        <v>992.75555555555559</v>
      </c>
      <c r="CQ67" s="33">
        <v>139.166666666667</v>
      </c>
      <c r="CR67" s="33">
        <v>8.9722222222222197</v>
      </c>
      <c r="CS67" s="33">
        <v>148.13888888888923</v>
      </c>
      <c r="CT67" s="33">
        <v>0</v>
      </c>
      <c r="CU67" s="33">
        <v>86</v>
      </c>
      <c r="CV67" s="32">
        <v>21</v>
      </c>
      <c r="CW67" s="32">
        <v>107</v>
      </c>
      <c r="CX67" s="32">
        <v>104</v>
      </c>
      <c r="CY67" s="32">
        <v>107</v>
      </c>
      <c r="CZ67" s="32">
        <v>107</v>
      </c>
      <c r="DA67" s="32">
        <v>107</v>
      </c>
      <c r="DB67" s="32">
        <v>108</v>
      </c>
      <c r="DC67" s="32">
        <v>102</v>
      </c>
      <c r="DD67" s="32">
        <v>95</v>
      </c>
      <c r="DE67" s="32">
        <v>88</v>
      </c>
      <c r="DF67" s="32">
        <v>85</v>
      </c>
      <c r="DG67" s="32">
        <v>0</v>
      </c>
      <c r="DH67" s="32">
        <v>0</v>
      </c>
      <c r="DI67" s="32">
        <v>0</v>
      </c>
      <c r="DJ67" s="32">
        <v>635</v>
      </c>
      <c r="DK67" s="32">
        <v>183</v>
      </c>
      <c r="DL67" s="32">
        <v>85</v>
      </c>
      <c r="DM67" s="32">
        <v>925</v>
      </c>
      <c r="DN67" s="32">
        <v>903</v>
      </c>
      <c r="DO67" s="32">
        <v>1010</v>
      </c>
      <c r="DP67" s="32">
        <v>0</v>
      </c>
      <c r="DQ67" s="32">
        <v>229</v>
      </c>
      <c r="DR67" s="32">
        <v>133</v>
      </c>
      <c r="DS67" s="32">
        <v>9</v>
      </c>
      <c r="DT67" s="32">
        <v>142</v>
      </c>
      <c r="DU67" s="32">
        <v>13</v>
      </c>
      <c r="DV67" s="33">
        <v>52.185000000000002</v>
      </c>
      <c r="DW67" s="33">
        <v>49.185000000000002</v>
      </c>
      <c r="DX67" s="33">
        <v>28.880000000000003</v>
      </c>
      <c r="DY67" s="33">
        <v>17.105</v>
      </c>
      <c r="DZ67" s="33">
        <v>0</v>
      </c>
      <c r="EA67" s="33">
        <v>55.134999999999998</v>
      </c>
      <c r="EB67" s="34">
        <v>6.5318489289740711E-2</v>
      </c>
      <c r="EC67" s="32"/>
      <c r="ED67" s="32">
        <v>107</v>
      </c>
      <c r="EE67" s="32">
        <v>901</v>
      </c>
      <c r="EF67" s="32">
        <v>629</v>
      </c>
      <c r="EG67" s="32">
        <v>188</v>
      </c>
      <c r="EH67" s="32">
        <v>84</v>
      </c>
      <c r="EI67" s="32">
        <v>1008</v>
      </c>
      <c r="EJ67" s="32">
        <v>0</v>
      </c>
      <c r="EK67" s="32">
        <v>143</v>
      </c>
      <c r="EL67" s="32">
        <v>143</v>
      </c>
      <c r="EM67" s="32">
        <v>134</v>
      </c>
      <c r="EN67" s="32">
        <v>9</v>
      </c>
      <c r="EO67" s="32">
        <v>2</v>
      </c>
      <c r="EP67" s="33">
        <v>39.424999999999997</v>
      </c>
      <c r="EQ67" s="33">
        <v>1</v>
      </c>
      <c r="ER67" s="33">
        <v>4.4000000000000004</v>
      </c>
      <c r="ES67" s="33">
        <v>0</v>
      </c>
      <c r="ET67" s="33">
        <v>6.8879999999999999</v>
      </c>
      <c r="EU67" s="33">
        <v>51.712999999999994</v>
      </c>
    </row>
    <row r="68" spans="1:151" ht="27.6" x14ac:dyDescent="0.3">
      <c r="A68" s="25" t="s">
        <v>157</v>
      </c>
      <c r="B68" s="26" t="s">
        <v>383</v>
      </c>
      <c r="C68" s="27" t="s">
        <v>158</v>
      </c>
      <c r="D68" s="27" t="s">
        <v>272</v>
      </c>
      <c r="E68" s="26" t="s">
        <v>504</v>
      </c>
      <c r="F68" s="26" t="s">
        <v>504</v>
      </c>
      <c r="G68" s="28">
        <v>74.87222222222222</v>
      </c>
      <c r="H68" s="28">
        <v>7.9722222222222223</v>
      </c>
      <c r="I68" s="29">
        <v>98</v>
      </c>
      <c r="J68" s="29">
        <v>493</v>
      </c>
      <c r="K68" s="29">
        <v>0</v>
      </c>
      <c r="L68" s="29">
        <v>0</v>
      </c>
      <c r="M68" s="29">
        <v>591</v>
      </c>
      <c r="N68" s="29">
        <v>493</v>
      </c>
      <c r="O68" s="29">
        <v>591</v>
      </c>
      <c r="P68" s="29">
        <v>7</v>
      </c>
      <c r="Q68" s="27">
        <v>96.027777777777771</v>
      </c>
      <c r="R68" s="27">
        <v>94.88333333333334</v>
      </c>
      <c r="S68" s="27">
        <v>89.038888888888891</v>
      </c>
      <c r="T68" s="27">
        <v>85.655555555555551</v>
      </c>
      <c r="U68" s="27">
        <v>82.638888888888886</v>
      </c>
      <c r="V68" s="27">
        <v>70.838888888888889</v>
      </c>
      <c r="W68" s="27">
        <v>54.255555555555553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477.31111111111113</v>
      </c>
      <c r="AE68" s="27">
        <v>0</v>
      </c>
      <c r="AF68" s="27">
        <v>0</v>
      </c>
      <c r="AG68" s="27">
        <v>573.33888888888885</v>
      </c>
      <c r="AH68" s="27">
        <v>477.31111111111113</v>
      </c>
      <c r="AI68" s="27">
        <v>573.33888888888885</v>
      </c>
      <c r="AJ68" s="28">
        <v>72.55</v>
      </c>
      <c r="AK68" s="28">
        <v>6.05</v>
      </c>
      <c r="AL68" s="28">
        <v>78.599999999999994</v>
      </c>
      <c r="AM68" s="29">
        <v>103</v>
      </c>
      <c r="AN68" s="35">
        <v>91</v>
      </c>
      <c r="AO68" s="27">
        <v>87</v>
      </c>
      <c r="AP68" s="27">
        <v>86</v>
      </c>
      <c r="AQ68" s="27">
        <v>70</v>
      </c>
      <c r="AR68" s="27">
        <v>67</v>
      </c>
      <c r="AS68" s="27">
        <v>67</v>
      </c>
      <c r="AT68" s="27">
        <v>0</v>
      </c>
      <c r="AU68" s="27">
        <v>0</v>
      </c>
      <c r="AV68" s="27">
        <v>0</v>
      </c>
      <c r="AW68" s="27">
        <v>0</v>
      </c>
      <c r="AX68" s="27">
        <v>0</v>
      </c>
      <c r="AY68" s="27">
        <v>0</v>
      </c>
      <c r="AZ68" s="27">
        <v>468</v>
      </c>
      <c r="BA68" s="27">
        <v>0</v>
      </c>
      <c r="BB68" s="27">
        <v>0</v>
      </c>
      <c r="BC68" s="27">
        <v>571</v>
      </c>
      <c r="BD68" s="27">
        <v>468</v>
      </c>
      <c r="BE68" s="27">
        <v>571</v>
      </c>
      <c r="BF68" s="27">
        <v>80</v>
      </c>
      <c r="BG68" s="27">
        <v>23</v>
      </c>
      <c r="BH68" s="27">
        <v>0</v>
      </c>
      <c r="BI68" s="27">
        <v>103</v>
      </c>
      <c r="BJ68" s="27">
        <v>79</v>
      </c>
      <c r="BK68" s="29">
        <v>2</v>
      </c>
      <c r="BL68" s="29">
        <v>81</v>
      </c>
      <c r="BM68" s="29">
        <v>0</v>
      </c>
      <c r="BN68" s="30">
        <v>5.8703071672355056E-2</v>
      </c>
      <c r="BO68" s="31">
        <v>30.577000000000002</v>
      </c>
      <c r="BP68" s="31">
        <v>27.852</v>
      </c>
      <c r="BQ68" s="31">
        <v>27.852</v>
      </c>
      <c r="BR68" s="31">
        <v>30.577000000000002</v>
      </c>
      <c r="BS68" s="32">
        <v>0</v>
      </c>
      <c r="BT68" s="32">
        <v>0</v>
      </c>
      <c r="BU68" s="33">
        <v>0</v>
      </c>
      <c r="BV68" s="33">
        <v>23.055554999999998</v>
      </c>
      <c r="BW68" s="33">
        <v>76.327776999999998</v>
      </c>
      <c r="BX68" s="33">
        <v>99.38333333333334</v>
      </c>
      <c r="BY68" s="33">
        <v>91.24444444444444</v>
      </c>
      <c r="BZ68" s="33">
        <v>83.87222222222222</v>
      </c>
      <c r="CA68" s="33">
        <v>83.288888888888891</v>
      </c>
      <c r="CB68" s="33">
        <v>65.422222222222217</v>
      </c>
      <c r="CC68" s="33">
        <v>63.266666666666666</v>
      </c>
      <c r="CD68" s="33">
        <v>65.488888888888894</v>
      </c>
      <c r="CE68" s="33">
        <v>0</v>
      </c>
      <c r="CF68" s="33">
        <v>0</v>
      </c>
      <c r="CG68" s="33">
        <v>0</v>
      </c>
      <c r="CH68" s="33">
        <v>0</v>
      </c>
      <c r="CI68" s="33">
        <v>0</v>
      </c>
      <c r="CJ68" s="33">
        <v>0</v>
      </c>
      <c r="CK68" s="33">
        <v>452.58333333333331</v>
      </c>
      <c r="CL68" s="33">
        <v>0</v>
      </c>
      <c r="CM68" s="33">
        <v>0</v>
      </c>
      <c r="CN68" s="33">
        <v>551.9666666666667</v>
      </c>
      <c r="CO68" s="33">
        <v>452.58333333333331</v>
      </c>
      <c r="CP68" s="33">
        <v>551.9666666666667</v>
      </c>
      <c r="CQ68" s="33">
        <v>76.466666666666697</v>
      </c>
      <c r="CR68" s="33">
        <v>3</v>
      </c>
      <c r="CS68" s="33">
        <v>79.466666666666697</v>
      </c>
      <c r="CT68" s="33">
        <v>0</v>
      </c>
      <c r="CU68" s="33">
        <v>61</v>
      </c>
      <c r="CV68" s="32">
        <v>11</v>
      </c>
      <c r="CW68" s="32">
        <v>72</v>
      </c>
      <c r="CX68" s="32">
        <v>88</v>
      </c>
      <c r="CY68" s="32">
        <v>83</v>
      </c>
      <c r="CZ68" s="32">
        <v>75</v>
      </c>
      <c r="DA68" s="32">
        <v>76</v>
      </c>
      <c r="DB68" s="32">
        <v>55</v>
      </c>
      <c r="DC68" s="32">
        <v>56</v>
      </c>
      <c r="DD68" s="32">
        <v>0</v>
      </c>
      <c r="DE68" s="32">
        <v>0</v>
      </c>
      <c r="DF68" s="32">
        <v>0</v>
      </c>
      <c r="DG68" s="32">
        <v>0</v>
      </c>
      <c r="DH68" s="32">
        <v>0</v>
      </c>
      <c r="DI68" s="32">
        <v>0</v>
      </c>
      <c r="DJ68" s="32">
        <v>433</v>
      </c>
      <c r="DK68" s="32">
        <v>0</v>
      </c>
      <c r="DL68" s="32">
        <v>0</v>
      </c>
      <c r="DM68" s="32">
        <v>505</v>
      </c>
      <c r="DN68" s="32">
        <v>433</v>
      </c>
      <c r="DO68" s="32">
        <v>505</v>
      </c>
      <c r="DP68" s="32">
        <v>0</v>
      </c>
      <c r="DQ68" s="32">
        <v>68</v>
      </c>
      <c r="DR68" s="32">
        <v>70</v>
      </c>
      <c r="DS68" s="32">
        <v>1</v>
      </c>
      <c r="DT68" s="32">
        <v>71</v>
      </c>
      <c r="DU68" s="32">
        <v>0</v>
      </c>
      <c r="DV68" s="33">
        <v>28.895</v>
      </c>
      <c r="DW68" s="33">
        <v>26.164999999999999</v>
      </c>
      <c r="DX68" s="33">
        <v>26.164999999999999</v>
      </c>
      <c r="DY68" s="33">
        <v>0</v>
      </c>
      <c r="DZ68" s="33">
        <v>0</v>
      </c>
      <c r="EA68" s="33">
        <v>28.894999999999996</v>
      </c>
      <c r="EB68" s="34">
        <v>6.1237864077669957E-2</v>
      </c>
      <c r="EC68" s="32"/>
      <c r="ED68" s="32">
        <v>90</v>
      </c>
      <c r="EE68" s="32">
        <v>450</v>
      </c>
      <c r="EF68" s="32">
        <v>450</v>
      </c>
      <c r="EG68" s="32">
        <v>0</v>
      </c>
      <c r="EH68" s="32">
        <v>0</v>
      </c>
      <c r="EI68" s="32">
        <v>540</v>
      </c>
      <c r="EJ68" s="32">
        <v>0</v>
      </c>
      <c r="EK68" s="32">
        <v>74</v>
      </c>
      <c r="EL68" s="32">
        <v>74</v>
      </c>
      <c r="EM68" s="32">
        <v>73</v>
      </c>
      <c r="EN68" s="32">
        <v>1</v>
      </c>
      <c r="EO68" s="32">
        <v>0</v>
      </c>
      <c r="EP68" s="33">
        <v>14.363</v>
      </c>
      <c r="EQ68" s="33">
        <v>0.8</v>
      </c>
      <c r="ER68" s="33">
        <v>2</v>
      </c>
      <c r="ES68" s="33">
        <v>7.4999999999999997E-2</v>
      </c>
      <c r="ET68" s="33">
        <v>2.2749999999999999</v>
      </c>
      <c r="EU68" s="33">
        <v>19.512999999999998</v>
      </c>
    </row>
    <row r="69" spans="1:151" ht="55.2" x14ac:dyDescent="0.3">
      <c r="A69" s="25" t="s">
        <v>184</v>
      </c>
      <c r="B69" s="26" t="s">
        <v>406</v>
      </c>
      <c r="C69" s="27" t="s">
        <v>697</v>
      </c>
      <c r="D69" s="27" t="s">
        <v>272</v>
      </c>
      <c r="E69" s="26" t="s">
        <v>504</v>
      </c>
      <c r="F69" s="26" t="s">
        <v>504</v>
      </c>
      <c r="G69" s="28">
        <v>8.7888888888888896</v>
      </c>
      <c r="H69" s="28">
        <v>1.4</v>
      </c>
      <c r="I69" s="29">
        <v>0</v>
      </c>
      <c r="J69" s="29">
        <v>12</v>
      </c>
      <c r="K69" s="29">
        <v>46</v>
      </c>
      <c r="L69" s="29">
        <v>178</v>
      </c>
      <c r="M69" s="29">
        <v>236</v>
      </c>
      <c r="N69" s="29">
        <v>236</v>
      </c>
      <c r="O69" s="29">
        <v>58</v>
      </c>
      <c r="P69" s="29">
        <v>1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13.744444444444444</v>
      </c>
      <c r="X69" s="27">
        <v>26.677777777777777</v>
      </c>
      <c r="Y69" s="27">
        <v>30.661111111111111</v>
      </c>
      <c r="Z69" s="27">
        <v>50.405555555555559</v>
      </c>
      <c r="AA69" s="27">
        <v>43.411111111111111</v>
      </c>
      <c r="AB69" s="27">
        <v>32.56666666666667</v>
      </c>
      <c r="AC69" s="27">
        <v>54.755555555555553</v>
      </c>
      <c r="AD69" s="27">
        <v>13.744444444444444</v>
      </c>
      <c r="AE69" s="27">
        <v>57.338888888888889</v>
      </c>
      <c r="AF69" s="27">
        <v>181.13888888888889</v>
      </c>
      <c r="AG69" s="27">
        <v>71.083333333333329</v>
      </c>
      <c r="AH69" s="27">
        <v>252.2222222222222</v>
      </c>
      <c r="AI69" s="27">
        <v>252.2222222222222</v>
      </c>
      <c r="AJ69" s="28">
        <v>8.4222222222222225</v>
      </c>
      <c r="AK69" s="28">
        <v>1</v>
      </c>
      <c r="AL69" s="28">
        <v>9.4222222222222225</v>
      </c>
      <c r="AM69" s="29">
        <v>0</v>
      </c>
      <c r="AN69" s="35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17</v>
      </c>
      <c r="AT69" s="27">
        <v>19</v>
      </c>
      <c r="AU69" s="27">
        <v>29</v>
      </c>
      <c r="AV69" s="27">
        <v>41</v>
      </c>
      <c r="AW69" s="27">
        <v>46</v>
      </c>
      <c r="AX69" s="27">
        <v>41</v>
      </c>
      <c r="AY69" s="27">
        <v>31</v>
      </c>
      <c r="AZ69" s="27">
        <v>17</v>
      </c>
      <c r="BA69" s="27">
        <v>48</v>
      </c>
      <c r="BB69" s="27">
        <v>159</v>
      </c>
      <c r="BC69" s="27">
        <v>65</v>
      </c>
      <c r="BD69" s="27">
        <v>224</v>
      </c>
      <c r="BE69" s="27">
        <v>224</v>
      </c>
      <c r="BF69" s="27">
        <v>0</v>
      </c>
      <c r="BG69" s="27">
        <v>0</v>
      </c>
      <c r="BH69" s="27">
        <v>0</v>
      </c>
      <c r="BI69" s="27">
        <v>215</v>
      </c>
      <c r="BJ69" s="27">
        <v>7</v>
      </c>
      <c r="BK69" s="29">
        <v>1</v>
      </c>
      <c r="BL69" s="29">
        <v>8</v>
      </c>
      <c r="BM69" s="29">
        <v>209</v>
      </c>
      <c r="BN69" s="30">
        <v>8.5713208685162856E-2</v>
      </c>
      <c r="BO69" s="31">
        <v>16</v>
      </c>
      <c r="BP69" s="31">
        <v>16</v>
      </c>
      <c r="BQ69" s="31">
        <v>16</v>
      </c>
      <c r="BR69" s="31">
        <v>19</v>
      </c>
      <c r="BS69" s="32">
        <v>0</v>
      </c>
      <c r="BT69" s="32">
        <v>0</v>
      </c>
      <c r="BU69" s="33">
        <v>0</v>
      </c>
      <c r="BV69" s="33">
        <v>0</v>
      </c>
      <c r="BW69" s="33">
        <v>0</v>
      </c>
      <c r="BX69" s="33">
        <v>0</v>
      </c>
      <c r="BY69" s="33">
        <v>0</v>
      </c>
      <c r="BZ69" s="33">
        <v>0</v>
      </c>
      <c r="CA69" s="33">
        <v>0</v>
      </c>
      <c r="CB69" s="33">
        <v>0</v>
      </c>
      <c r="CC69" s="33">
        <v>0</v>
      </c>
      <c r="CD69" s="33">
        <v>17.488888888888887</v>
      </c>
      <c r="CE69" s="33">
        <v>21.816666666666666</v>
      </c>
      <c r="CF69" s="33">
        <v>28.305555555555557</v>
      </c>
      <c r="CG69" s="33">
        <v>50.31111111111111</v>
      </c>
      <c r="CH69" s="33">
        <v>45.644444444444446</v>
      </c>
      <c r="CI69" s="33">
        <v>45.855555555555554</v>
      </c>
      <c r="CJ69" s="33">
        <v>29.544444444444444</v>
      </c>
      <c r="CK69" s="33">
        <v>17.488888888888887</v>
      </c>
      <c r="CL69" s="33">
        <v>50.12222222222222</v>
      </c>
      <c r="CM69" s="33">
        <v>171.35555555555555</v>
      </c>
      <c r="CN69" s="33">
        <v>67.611111111111114</v>
      </c>
      <c r="CO69" s="33">
        <v>238.96666666666667</v>
      </c>
      <c r="CP69" s="33">
        <v>238.96666666666667</v>
      </c>
      <c r="CQ69" s="33">
        <v>8.7611111111111093</v>
      </c>
      <c r="CR69" s="33">
        <v>0</v>
      </c>
      <c r="CS69" s="33">
        <v>8.7611111111111093</v>
      </c>
      <c r="CT69" s="33">
        <v>0</v>
      </c>
      <c r="CU69" s="33">
        <v>0</v>
      </c>
      <c r="CV69" s="32">
        <v>0</v>
      </c>
      <c r="CW69" s="32">
        <v>0</v>
      </c>
      <c r="CX69" s="32">
        <v>0</v>
      </c>
      <c r="CY69" s="32">
        <v>0</v>
      </c>
      <c r="CZ69" s="32">
        <v>0</v>
      </c>
      <c r="DA69" s="32">
        <v>0</v>
      </c>
      <c r="DB69" s="32">
        <v>0</v>
      </c>
      <c r="DC69" s="32">
        <v>12</v>
      </c>
      <c r="DD69" s="32">
        <v>18</v>
      </c>
      <c r="DE69" s="32">
        <v>27</v>
      </c>
      <c r="DF69" s="32">
        <v>32</v>
      </c>
      <c r="DG69" s="32">
        <v>59</v>
      </c>
      <c r="DH69" s="32">
        <v>47</v>
      </c>
      <c r="DI69" s="32">
        <v>50</v>
      </c>
      <c r="DJ69" s="32">
        <v>12</v>
      </c>
      <c r="DK69" s="32">
        <v>45</v>
      </c>
      <c r="DL69" s="32">
        <v>188</v>
      </c>
      <c r="DM69" s="32">
        <v>57</v>
      </c>
      <c r="DN69" s="32">
        <v>245</v>
      </c>
      <c r="DO69" s="32">
        <v>245</v>
      </c>
      <c r="DP69" s="32">
        <v>0</v>
      </c>
      <c r="DQ69" s="32">
        <v>238</v>
      </c>
      <c r="DR69" s="32">
        <v>15</v>
      </c>
      <c r="DS69" s="32">
        <v>0</v>
      </c>
      <c r="DT69" s="32">
        <v>15</v>
      </c>
      <c r="DU69" s="32">
        <v>222</v>
      </c>
      <c r="DV69" s="33">
        <v>16.387</v>
      </c>
      <c r="DW69" s="33">
        <v>15.736999999999998</v>
      </c>
      <c r="DX69" s="33">
        <v>1.2760000000000002</v>
      </c>
      <c r="DY69" s="33">
        <v>13.411</v>
      </c>
      <c r="DZ69" s="33">
        <v>0</v>
      </c>
      <c r="EA69" s="33">
        <v>16.987000000000002</v>
      </c>
      <c r="EB69" s="34">
        <v>9.1619601900957304E-2</v>
      </c>
      <c r="EC69" s="32"/>
      <c r="ED69" s="32">
        <v>0</v>
      </c>
      <c r="EE69" s="32">
        <v>243</v>
      </c>
      <c r="EF69" s="32">
        <v>14</v>
      </c>
      <c r="EG69" s="32">
        <v>47</v>
      </c>
      <c r="EH69" s="32">
        <v>182</v>
      </c>
      <c r="EI69" s="32">
        <v>243</v>
      </c>
      <c r="EJ69" s="32">
        <v>0</v>
      </c>
      <c r="EK69" s="32">
        <v>14</v>
      </c>
      <c r="EL69" s="32">
        <v>14</v>
      </c>
      <c r="EM69" s="32">
        <v>14</v>
      </c>
      <c r="EN69" s="32">
        <v>0</v>
      </c>
      <c r="EO69" s="32">
        <v>0</v>
      </c>
      <c r="EP69" s="33">
        <v>4.1639999999999997</v>
      </c>
      <c r="EQ69" s="33">
        <v>0</v>
      </c>
      <c r="ER69" s="33">
        <v>0.125</v>
      </c>
      <c r="ES69" s="33">
        <v>0</v>
      </c>
      <c r="ET69" s="33">
        <v>0.8</v>
      </c>
      <c r="EU69" s="33">
        <v>5.0889999999999995</v>
      </c>
    </row>
    <row r="70" spans="1:151" ht="27.6" x14ac:dyDescent="0.3">
      <c r="A70" s="25" t="s">
        <v>213</v>
      </c>
      <c r="B70" s="26" t="s">
        <v>431</v>
      </c>
      <c r="C70" s="27" t="s">
        <v>698</v>
      </c>
      <c r="D70" s="27" t="s">
        <v>272</v>
      </c>
      <c r="E70" s="26" t="s">
        <v>504</v>
      </c>
      <c r="F70" s="26" t="s">
        <v>504</v>
      </c>
      <c r="G70" s="28">
        <v>22.427777777777777</v>
      </c>
      <c r="H70" s="28">
        <v>0</v>
      </c>
      <c r="I70" s="29">
        <v>0</v>
      </c>
      <c r="J70" s="29">
        <v>0</v>
      </c>
      <c r="K70" s="29">
        <v>223</v>
      </c>
      <c r="L70" s="29">
        <v>315</v>
      </c>
      <c r="M70" s="29">
        <v>538</v>
      </c>
      <c r="N70" s="29">
        <v>538</v>
      </c>
      <c r="O70" s="29">
        <v>223</v>
      </c>
      <c r="P70" s="29">
        <v>1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114</v>
      </c>
      <c r="Y70" s="27">
        <v>108</v>
      </c>
      <c r="Z70" s="27">
        <v>93.777777777777771</v>
      </c>
      <c r="AA70" s="27">
        <v>81.338888888888889</v>
      </c>
      <c r="AB70" s="27">
        <v>75.183333333333337</v>
      </c>
      <c r="AC70" s="27">
        <v>62</v>
      </c>
      <c r="AD70" s="27">
        <v>0</v>
      </c>
      <c r="AE70" s="27">
        <v>222</v>
      </c>
      <c r="AF70" s="27">
        <v>312.3</v>
      </c>
      <c r="AG70" s="27">
        <v>222</v>
      </c>
      <c r="AH70" s="27">
        <v>534.29999999999995</v>
      </c>
      <c r="AI70" s="27">
        <v>534.29999999999995</v>
      </c>
      <c r="AJ70" s="28">
        <v>22.944444444444443</v>
      </c>
      <c r="AK70" s="28">
        <v>1</v>
      </c>
      <c r="AL70" s="28">
        <v>23.944444444444443</v>
      </c>
      <c r="AM70" s="29">
        <v>0</v>
      </c>
      <c r="AN70" s="35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  <c r="AT70" s="27">
        <v>108</v>
      </c>
      <c r="AU70" s="27">
        <v>115</v>
      </c>
      <c r="AV70" s="27">
        <v>108</v>
      </c>
      <c r="AW70" s="27">
        <v>92</v>
      </c>
      <c r="AX70" s="27">
        <v>81</v>
      </c>
      <c r="AY70" s="27">
        <v>64</v>
      </c>
      <c r="AZ70" s="27">
        <v>0</v>
      </c>
      <c r="BA70" s="27">
        <v>223</v>
      </c>
      <c r="BB70" s="27">
        <v>345</v>
      </c>
      <c r="BC70" s="27">
        <v>223</v>
      </c>
      <c r="BD70" s="27">
        <v>568</v>
      </c>
      <c r="BE70" s="27">
        <v>568</v>
      </c>
      <c r="BF70" s="27">
        <v>0</v>
      </c>
      <c r="BG70" s="27">
        <v>0</v>
      </c>
      <c r="BH70" s="27">
        <v>0</v>
      </c>
      <c r="BI70" s="27">
        <v>295</v>
      </c>
      <c r="BJ70" s="27">
        <v>22</v>
      </c>
      <c r="BK70" s="29">
        <v>2</v>
      </c>
      <c r="BL70" s="29">
        <v>24</v>
      </c>
      <c r="BM70" s="29">
        <v>0</v>
      </c>
      <c r="BN70" s="30">
        <v>7.0969259723965006E-2</v>
      </c>
      <c r="BO70" s="31">
        <v>33.862000000000002</v>
      </c>
      <c r="BP70" s="31">
        <v>33.862000000000002</v>
      </c>
      <c r="BQ70" s="31">
        <v>33.862000000000002</v>
      </c>
      <c r="BR70" s="31">
        <v>34.861999999999988</v>
      </c>
      <c r="BS70" s="32">
        <v>0</v>
      </c>
      <c r="BT70" s="32">
        <v>0</v>
      </c>
      <c r="BU70" s="33">
        <v>0</v>
      </c>
      <c r="BV70" s="33">
        <v>0</v>
      </c>
      <c r="BW70" s="33">
        <v>0</v>
      </c>
      <c r="BX70" s="33">
        <v>0</v>
      </c>
      <c r="BY70" s="33">
        <v>0</v>
      </c>
      <c r="BZ70" s="33">
        <v>0</v>
      </c>
      <c r="CA70" s="33">
        <v>0</v>
      </c>
      <c r="CB70" s="33">
        <v>0</v>
      </c>
      <c r="CC70" s="33">
        <v>0</v>
      </c>
      <c r="CD70" s="33">
        <v>0</v>
      </c>
      <c r="CE70" s="33">
        <v>107.89444444444445</v>
      </c>
      <c r="CF70" s="33">
        <v>112.47222222222223</v>
      </c>
      <c r="CG70" s="33">
        <v>107.70555555555555</v>
      </c>
      <c r="CH70" s="33">
        <v>90.811111111111117</v>
      </c>
      <c r="CI70" s="33">
        <v>80.966666666666669</v>
      </c>
      <c r="CJ70" s="33">
        <v>64</v>
      </c>
      <c r="CK70" s="33">
        <v>0</v>
      </c>
      <c r="CL70" s="33">
        <v>220.36666666666667</v>
      </c>
      <c r="CM70" s="33">
        <v>343.48333333333335</v>
      </c>
      <c r="CN70" s="33">
        <v>220.36666666666667</v>
      </c>
      <c r="CO70" s="33">
        <v>563.85</v>
      </c>
      <c r="CP70" s="33">
        <v>563.85</v>
      </c>
      <c r="CQ70" s="33">
        <v>18.755555555555599</v>
      </c>
      <c r="CR70" s="33">
        <v>2</v>
      </c>
      <c r="CS70" s="33">
        <v>20.755555555555599</v>
      </c>
      <c r="CT70" s="33">
        <v>0</v>
      </c>
      <c r="CU70" s="33">
        <v>0</v>
      </c>
      <c r="CV70" s="32">
        <v>0</v>
      </c>
      <c r="CW70" s="32">
        <v>0</v>
      </c>
      <c r="CX70" s="32">
        <v>0</v>
      </c>
      <c r="CY70" s="32">
        <v>0</v>
      </c>
      <c r="CZ70" s="32">
        <v>0</v>
      </c>
      <c r="DA70" s="32">
        <v>0</v>
      </c>
      <c r="DB70" s="32">
        <v>0</v>
      </c>
      <c r="DC70" s="32">
        <v>0</v>
      </c>
      <c r="DD70" s="32">
        <v>136</v>
      </c>
      <c r="DE70" s="32">
        <v>112</v>
      </c>
      <c r="DF70" s="32">
        <v>113</v>
      </c>
      <c r="DG70" s="32">
        <v>106</v>
      </c>
      <c r="DH70" s="32">
        <v>88</v>
      </c>
      <c r="DI70" s="32">
        <v>68</v>
      </c>
      <c r="DJ70" s="32">
        <v>0</v>
      </c>
      <c r="DK70" s="32">
        <v>248</v>
      </c>
      <c r="DL70" s="32">
        <v>375</v>
      </c>
      <c r="DM70" s="32">
        <v>248</v>
      </c>
      <c r="DN70" s="32">
        <v>623</v>
      </c>
      <c r="DO70" s="32">
        <v>623</v>
      </c>
      <c r="DP70" s="32">
        <v>0</v>
      </c>
      <c r="DQ70" s="32">
        <v>429</v>
      </c>
      <c r="DR70" s="32">
        <v>16</v>
      </c>
      <c r="DS70" s="32">
        <v>1</v>
      </c>
      <c r="DT70" s="32">
        <v>17</v>
      </c>
      <c r="DU70" s="32">
        <v>0</v>
      </c>
      <c r="DV70" s="33">
        <v>36.335000000000008</v>
      </c>
      <c r="DW70" s="33">
        <v>36.335000000000008</v>
      </c>
      <c r="DX70" s="33">
        <v>0.24</v>
      </c>
      <c r="DY70" s="33">
        <v>29.282</v>
      </c>
      <c r="DZ70" s="33">
        <v>0</v>
      </c>
      <c r="EA70" s="33">
        <v>38.484999999999999</v>
      </c>
      <c r="EB70" s="34">
        <v>6.4081325301204917E-2</v>
      </c>
      <c r="EC70" s="32"/>
      <c r="ED70" s="32">
        <v>0</v>
      </c>
      <c r="EE70" s="32">
        <v>620</v>
      </c>
      <c r="EF70" s="32">
        <v>0</v>
      </c>
      <c r="EG70" s="32">
        <v>244</v>
      </c>
      <c r="EH70" s="32">
        <v>376</v>
      </c>
      <c r="EI70" s="32">
        <v>620</v>
      </c>
      <c r="EJ70" s="32">
        <v>0</v>
      </c>
      <c r="EK70" s="32">
        <v>16</v>
      </c>
      <c r="EL70" s="32">
        <v>16</v>
      </c>
      <c r="EM70" s="32">
        <v>16</v>
      </c>
      <c r="EN70" s="32">
        <v>0</v>
      </c>
      <c r="EO70" s="32">
        <v>0</v>
      </c>
      <c r="EP70" s="33">
        <v>20</v>
      </c>
      <c r="EQ70" s="33">
        <v>2</v>
      </c>
      <c r="ER70" s="33">
        <v>0.75</v>
      </c>
      <c r="ES70" s="33">
        <v>0</v>
      </c>
      <c r="ET70" s="33">
        <v>3.875</v>
      </c>
      <c r="EU70" s="33">
        <v>26.625</v>
      </c>
    </row>
    <row r="71" spans="1:151" ht="27.6" x14ac:dyDescent="0.3">
      <c r="A71" s="25" t="s">
        <v>231</v>
      </c>
      <c r="B71" s="26" t="s">
        <v>441</v>
      </c>
      <c r="C71" s="27" t="s">
        <v>699</v>
      </c>
      <c r="D71" s="27" t="s">
        <v>272</v>
      </c>
      <c r="E71" s="26" t="s">
        <v>504</v>
      </c>
      <c r="F71" s="26" t="s">
        <v>504</v>
      </c>
      <c r="G71" s="28">
        <v>0</v>
      </c>
      <c r="H71" s="28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8">
        <v>0</v>
      </c>
      <c r="AK71" s="28">
        <v>0</v>
      </c>
      <c r="AL71" s="28">
        <v>0</v>
      </c>
      <c r="AM71" s="29">
        <v>0</v>
      </c>
      <c r="AN71" s="35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T71" s="27">
        <v>0</v>
      </c>
      <c r="AU71" s="27">
        <v>0</v>
      </c>
      <c r="AV71" s="27">
        <v>0</v>
      </c>
      <c r="AW71" s="27">
        <v>0</v>
      </c>
      <c r="AX71" s="27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0</v>
      </c>
      <c r="BH71" s="27">
        <v>0</v>
      </c>
      <c r="BI71" s="27">
        <v>0</v>
      </c>
      <c r="BJ71" s="27">
        <v>0</v>
      </c>
      <c r="BK71" s="29">
        <v>0</v>
      </c>
      <c r="BL71" s="29">
        <v>0</v>
      </c>
      <c r="BM71" s="29">
        <v>0</v>
      </c>
      <c r="BN71" s="30">
        <v>0</v>
      </c>
      <c r="BO71" s="31">
        <v>0</v>
      </c>
      <c r="BP71" s="31">
        <v>0</v>
      </c>
      <c r="BQ71" s="31">
        <v>0</v>
      </c>
      <c r="BR71" s="31">
        <v>0</v>
      </c>
      <c r="BS71" s="32">
        <v>0</v>
      </c>
      <c r="BT71" s="32">
        <v>0</v>
      </c>
      <c r="BU71" s="33">
        <v>0</v>
      </c>
      <c r="BV71" s="33">
        <v>0</v>
      </c>
      <c r="BW71" s="33">
        <v>0</v>
      </c>
      <c r="BX71" s="33">
        <v>0</v>
      </c>
      <c r="BY71" s="33">
        <v>0</v>
      </c>
      <c r="BZ71" s="33">
        <v>0</v>
      </c>
      <c r="CA71" s="33">
        <v>0</v>
      </c>
      <c r="CB71" s="33">
        <v>0</v>
      </c>
      <c r="CC71" s="33">
        <v>0</v>
      </c>
      <c r="CD71" s="33">
        <v>0</v>
      </c>
      <c r="CE71" s="33">
        <v>0</v>
      </c>
      <c r="CF71" s="33">
        <v>0</v>
      </c>
      <c r="CG71" s="33">
        <v>0</v>
      </c>
      <c r="CH71" s="33">
        <v>0</v>
      </c>
      <c r="CI71" s="33">
        <v>0</v>
      </c>
      <c r="CJ71" s="33">
        <v>0</v>
      </c>
      <c r="CK71" s="33">
        <v>0</v>
      </c>
      <c r="CL71" s="33">
        <v>0</v>
      </c>
      <c r="CM71" s="33">
        <v>0</v>
      </c>
      <c r="CN71" s="33">
        <v>0</v>
      </c>
      <c r="CO71" s="33">
        <v>0</v>
      </c>
      <c r="CP71" s="33">
        <v>0</v>
      </c>
      <c r="CQ71" s="33">
        <v>0</v>
      </c>
      <c r="CR71" s="33">
        <v>0</v>
      </c>
      <c r="CS71" s="33">
        <v>0</v>
      </c>
      <c r="CT71" s="33">
        <v>0</v>
      </c>
      <c r="CU71" s="33">
        <v>0</v>
      </c>
      <c r="CV71" s="32">
        <v>0</v>
      </c>
      <c r="CW71" s="32">
        <v>0</v>
      </c>
      <c r="CX71" s="32">
        <v>0</v>
      </c>
      <c r="CY71" s="32">
        <v>0</v>
      </c>
      <c r="CZ71" s="32">
        <v>0</v>
      </c>
      <c r="DA71" s="32">
        <v>0</v>
      </c>
      <c r="DB71" s="32">
        <v>0</v>
      </c>
      <c r="DC71" s="32">
        <v>0</v>
      </c>
      <c r="DD71" s="32">
        <v>0</v>
      </c>
      <c r="DE71" s="32">
        <v>0</v>
      </c>
      <c r="DF71" s="32">
        <v>0</v>
      </c>
      <c r="DG71" s="32">
        <v>0</v>
      </c>
      <c r="DH71" s="32">
        <v>0</v>
      </c>
      <c r="DI71" s="32">
        <v>0</v>
      </c>
      <c r="DJ71" s="32">
        <v>0</v>
      </c>
      <c r="DK71" s="32">
        <v>0</v>
      </c>
      <c r="DL71" s="32">
        <v>0</v>
      </c>
      <c r="DM71" s="32">
        <v>0</v>
      </c>
      <c r="DN71" s="32">
        <v>0</v>
      </c>
      <c r="DO71" s="32">
        <v>0</v>
      </c>
      <c r="DP71" s="32">
        <v>0</v>
      </c>
      <c r="DQ71" s="32">
        <v>0</v>
      </c>
      <c r="DR71" s="32">
        <v>0</v>
      </c>
      <c r="DS71" s="32">
        <v>0</v>
      </c>
      <c r="DT71" s="32">
        <v>0</v>
      </c>
      <c r="DU71" s="32">
        <v>0</v>
      </c>
      <c r="DV71" s="33">
        <v>0</v>
      </c>
      <c r="DW71" s="33">
        <v>0</v>
      </c>
      <c r="DX71" s="33">
        <v>0</v>
      </c>
      <c r="DY71" s="33">
        <v>0</v>
      </c>
      <c r="DZ71" s="33">
        <v>0</v>
      </c>
      <c r="EA71" s="33">
        <v>0</v>
      </c>
      <c r="EB71" s="34">
        <v>0</v>
      </c>
      <c r="EC71" s="32">
        <v>0</v>
      </c>
      <c r="ED71" s="32">
        <v>0</v>
      </c>
      <c r="EE71" s="32">
        <v>0</v>
      </c>
      <c r="EF71" s="32">
        <v>0</v>
      </c>
      <c r="EG71" s="32">
        <v>0</v>
      </c>
      <c r="EH71" s="32">
        <v>0</v>
      </c>
      <c r="EI71" s="32">
        <v>0</v>
      </c>
      <c r="EJ71" s="32">
        <v>0</v>
      </c>
      <c r="EK71" s="32">
        <v>0</v>
      </c>
      <c r="EL71" s="32">
        <v>0</v>
      </c>
      <c r="EM71" s="32">
        <v>0</v>
      </c>
      <c r="EN71" s="32">
        <v>0</v>
      </c>
      <c r="EO71" s="32">
        <v>0</v>
      </c>
      <c r="EP71" s="33">
        <v>0</v>
      </c>
      <c r="EQ71" s="33">
        <v>0</v>
      </c>
      <c r="ER71" s="33">
        <v>2</v>
      </c>
      <c r="ES71" s="33">
        <v>2</v>
      </c>
      <c r="ET71" s="33">
        <v>3</v>
      </c>
      <c r="EU71" s="33">
        <v>7</v>
      </c>
    </row>
    <row r="72" spans="1:151" ht="41.4" x14ac:dyDescent="0.3">
      <c r="A72" s="25" t="s">
        <v>246</v>
      </c>
      <c r="B72" s="26" t="s">
        <v>450</v>
      </c>
      <c r="C72" s="27" t="s">
        <v>247</v>
      </c>
      <c r="D72" s="27" t="s">
        <v>272</v>
      </c>
      <c r="E72" s="26" t="s">
        <v>504</v>
      </c>
      <c r="F72" s="26" t="s">
        <v>504</v>
      </c>
      <c r="G72" s="28">
        <v>46.35</v>
      </c>
      <c r="H72" s="28">
        <v>0.74444444444444446</v>
      </c>
      <c r="I72" s="29">
        <v>63</v>
      </c>
      <c r="J72" s="29">
        <v>269</v>
      </c>
      <c r="K72" s="29">
        <v>0</v>
      </c>
      <c r="L72" s="29">
        <v>0</v>
      </c>
      <c r="M72" s="29">
        <v>332</v>
      </c>
      <c r="N72" s="29">
        <v>269</v>
      </c>
      <c r="O72" s="29">
        <v>332</v>
      </c>
      <c r="P72" s="29">
        <v>1</v>
      </c>
      <c r="Q72" s="27">
        <v>61.55</v>
      </c>
      <c r="R72" s="27">
        <v>55.43333333333333</v>
      </c>
      <c r="S72" s="27">
        <v>43.255555555555553</v>
      </c>
      <c r="T72" s="27">
        <v>48.638888888888886</v>
      </c>
      <c r="U72" s="27">
        <v>48.861111111111114</v>
      </c>
      <c r="V72" s="27">
        <v>32.883333333333333</v>
      </c>
      <c r="W72" s="27">
        <v>30.35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7">
        <v>0</v>
      </c>
      <c r="AD72" s="27">
        <v>259.42222222222222</v>
      </c>
      <c r="AE72" s="27">
        <v>0</v>
      </c>
      <c r="AF72" s="27">
        <v>0</v>
      </c>
      <c r="AG72" s="27">
        <v>320.97222222222223</v>
      </c>
      <c r="AH72" s="27">
        <v>259.42222222222222</v>
      </c>
      <c r="AI72" s="27">
        <v>320.97222222222223</v>
      </c>
      <c r="AJ72" s="28">
        <v>46.272222222222226</v>
      </c>
      <c r="AK72" s="28">
        <v>1</v>
      </c>
      <c r="AL72" s="28">
        <v>47.272222222222226</v>
      </c>
      <c r="AM72" s="29">
        <v>51</v>
      </c>
      <c r="AN72" s="35">
        <v>51</v>
      </c>
      <c r="AO72" s="27">
        <v>52</v>
      </c>
      <c r="AP72" s="27">
        <v>48</v>
      </c>
      <c r="AQ72" s="27">
        <v>43</v>
      </c>
      <c r="AR72" s="27">
        <v>51</v>
      </c>
      <c r="AS72" s="27">
        <v>27</v>
      </c>
      <c r="AT72" s="27">
        <v>0</v>
      </c>
      <c r="AU72" s="27">
        <v>0</v>
      </c>
      <c r="AV72" s="27">
        <v>0</v>
      </c>
      <c r="AW72" s="27">
        <v>0</v>
      </c>
      <c r="AX72" s="27">
        <v>0</v>
      </c>
      <c r="AY72" s="27">
        <v>0</v>
      </c>
      <c r="AZ72" s="27">
        <v>272</v>
      </c>
      <c r="BA72" s="27">
        <v>0</v>
      </c>
      <c r="BB72" s="27">
        <v>0</v>
      </c>
      <c r="BC72" s="27">
        <v>323</v>
      </c>
      <c r="BD72" s="27">
        <v>272</v>
      </c>
      <c r="BE72" s="27">
        <v>323</v>
      </c>
      <c r="BF72" s="27">
        <v>47</v>
      </c>
      <c r="BG72" s="27">
        <v>4</v>
      </c>
      <c r="BH72" s="27">
        <v>0</v>
      </c>
      <c r="BI72" s="27">
        <v>66</v>
      </c>
      <c r="BJ72" s="27">
        <v>46</v>
      </c>
      <c r="BK72" s="29">
        <v>0</v>
      </c>
      <c r="BL72" s="29">
        <v>46</v>
      </c>
      <c r="BM72" s="29">
        <v>62</v>
      </c>
      <c r="BN72" s="30">
        <v>4.7770700636942609E-2</v>
      </c>
      <c r="BO72" s="31">
        <v>19</v>
      </c>
      <c r="BP72" s="31">
        <v>18</v>
      </c>
      <c r="BQ72" s="31">
        <v>18</v>
      </c>
      <c r="BR72" s="31">
        <v>19</v>
      </c>
      <c r="BS72" s="32">
        <v>0</v>
      </c>
      <c r="BT72" s="32">
        <v>0</v>
      </c>
      <c r="BU72" s="33">
        <v>0</v>
      </c>
      <c r="BV72" s="33">
        <v>2.216666</v>
      </c>
      <c r="BW72" s="33">
        <v>50.611111000000001</v>
      </c>
      <c r="BX72" s="33">
        <v>52.827777777777776</v>
      </c>
      <c r="BY72" s="33">
        <v>47.805555555555557</v>
      </c>
      <c r="BZ72" s="33">
        <v>49.494444444444447</v>
      </c>
      <c r="CA72" s="33">
        <v>49.355555555555554</v>
      </c>
      <c r="CB72" s="33">
        <v>44.35</v>
      </c>
      <c r="CC72" s="33">
        <v>50.8</v>
      </c>
      <c r="CD72" s="33">
        <v>26.055555555555557</v>
      </c>
      <c r="CE72" s="33">
        <v>0</v>
      </c>
      <c r="CF72" s="33">
        <v>0</v>
      </c>
      <c r="CG72" s="33">
        <v>0</v>
      </c>
      <c r="CH72" s="33">
        <v>0</v>
      </c>
      <c r="CI72" s="33">
        <v>0</v>
      </c>
      <c r="CJ72" s="33">
        <v>0</v>
      </c>
      <c r="CK72" s="33">
        <v>267.86111111111109</v>
      </c>
      <c r="CL72" s="33">
        <v>0</v>
      </c>
      <c r="CM72" s="33">
        <v>0</v>
      </c>
      <c r="CN72" s="33">
        <v>320.68888888888887</v>
      </c>
      <c r="CO72" s="33">
        <v>267.86111111111109</v>
      </c>
      <c r="CP72" s="33">
        <v>320.68888888888887</v>
      </c>
      <c r="CQ72" s="33">
        <v>55.633333333333297</v>
      </c>
      <c r="CR72" s="33">
        <v>3.87222222222222</v>
      </c>
      <c r="CS72" s="33">
        <v>59.505555555555517</v>
      </c>
      <c r="CT72" s="33">
        <v>0</v>
      </c>
      <c r="CU72" s="33">
        <v>59</v>
      </c>
      <c r="CV72" s="32">
        <v>5</v>
      </c>
      <c r="CW72" s="32">
        <v>64</v>
      </c>
      <c r="CX72" s="32">
        <v>63</v>
      </c>
      <c r="CY72" s="32">
        <v>48</v>
      </c>
      <c r="CZ72" s="32">
        <v>54</v>
      </c>
      <c r="DA72" s="32">
        <v>50</v>
      </c>
      <c r="DB72" s="32">
        <v>43</v>
      </c>
      <c r="DC72" s="32">
        <v>32</v>
      </c>
      <c r="DD72" s="32">
        <v>0</v>
      </c>
      <c r="DE72" s="32">
        <v>0</v>
      </c>
      <c r="DF72" s="32">
        <v>0</v>
      </c>
      <c r="DG72" s="32">
        <v>0</v>
      </c>
      <c r="DH72" s="32">
        <v>0</v>
      </c>
      <c r="DI72" s="32">
        <v>0</v>
      </c>
      <c r="DJ72" s="32">
        <v>290</v>
      </c>
      <c r="DK72" s="32">
        <v>0</v>
      </c>
      <c r="DL72" s="32">
        <v>0</v>
      </c>
      <c r="DM72" s="32">
        <v>354</v>
      </c>
      <c r="DN72" s="32">
        <v>290</v>
      </c>
      <c r="DO72" s="32">
        <v>354</v>
      </c>
      <c r="DP72" s="32">
        <v>0</v>
      </c>
      <c r="DQ72" s="32">
        <v>89</v>
      </c>
      <c r="DR72" s="32">
        <v>62</v>
      </c>
      <c r="DS72" s="32">
        <v>7</v>
      </c>
      <c r="DT72" s="32">
        <v>69</v>
      </c>
      <c r="DU72" s="32">
        <v>63</v>
      </c>
      <c r="DV72" s="33">
        <v>19.630000000000003</v>
      </c>
      <c r="DW72" s="33">
        <v>18.630000000000003</v>
      </c>
      <c r="DX72" s="33">
        <v>18.63</v>
      </c>
      <c r="DY72" s="33">
        <v>0</v>
      </c>
      <c r="DZ72" s="33">
        <v>0</v>
      </c>
      <c r="EA72" s="33">
        <v>19.63</v>
      </c>
      <c r="EB72" s="34">
        <v>6.1805555555555669E-2</v>
      </c>
      <c r="EC72" s="32"/>
      <c r="ED72" s="32">
        <v>62</v>
      </c>
      <c r="EE72" s="32">
        <v>290</v>
      </c>
      <c r="EF72" s="32">
        <v>290</v>
      </c>
      <c r="EG72" s="32">
        <v>0</v>
      </c>
      <c r="EH72" s="32">
        <v>0</v>
      </c>
      <c r="EI72" s="32">
        <v>352</v>
      </c>
      <c r="EJ72" s="32">
        <v>0</v>
      </c>
      <c r="EK72" s="32">
        <v>69</v>
      </c>
      <c r="EL72" s="32">
        <v>69</v>
      </c>
      <c r="EM72" s="32">
        <v>66</v>
      </c>
      <c r="EN72" s="32">
        <v>3</v>
      </c>
      <c r="EO72" s="32">
        <v>2</v>
      </c>
      <c r="EP72" s="33">
        <v>6.9</v>
      </c>
      <c r="EQ72" s="33">
        <v>0.72</v>
      </c>
      <c r="ER72" s="33">
        <v>1.73</v>
      </c>
      <c r="ES72" s="33">
        <v>0</v>
      </c>
      <c r="ET72" s="33">
        <v>0</v>
      </c>
      <c r="EU72" s="33">
        <v>9.35</v>
      </c>
    </row>
    <row r="73" spans="1:151" ht="41.4" x14ac:dyDescent="0.3">
      <c r="A73" s="25" t="s">
        <v>76</v>
      </c>
      <c r="B73" s="26" t="s">
        <v>315</v>
      </c>
      <c r="C73" s="27" t="s">
        <v>700</v>
      </c>
      <c r="D73" s="27" t="s">
        <v>272</v>
      </c>
      <c r="E73" s="26" t="s">
        <v>504</v>
      </c>
      <c r="F73" s="26" t="s">
        <v>504</v>
      </c>
      <c r="G73" s="28">
        <v>90.772222222222226</v>
      </c>
      <c r="H73" s="28">
        <v>7.3888888888888893</v>
      </c>
      <c r="I73" s="29">
        <v>75</v>
      </c>
      <c r="J73" s="29">
        <v>501</v>
      </c>
      <c r="K73" s="29">
        <v>233</v>
      </c>
      <c r="L73" s="29">
        <v>106</v>
      </c>
      <c r="M73" s="29">
        <v>915</v>
      </c>
      <c r="N73" s="29">
        <v>840</v>
      </c>
      <c r="O73" s="29">
        <v>809</v>
      </c>
      <c r="P73" s="29">
        <v>6</v>
      </c>
      <c r="Q73" s="27">
        <v>74.838888888888889</v>
      </c>
      <c r="R73" s="27">
        <v>74.238888888888894</v>
      </c>
      <c r="S73" s="27">
        <v>74.527777777777771</v>
      </c>
      <c r="T73" s="27">
        <v>81.016666666666666</v>
      </c>
      <c r="U73" s="27">
        <v>80.00555555555556</v>
      </c>
      <c r="V73" s="27">
        <v>77.961111111111109</v>
      </c>
      <c r="W73" s="27">
        <v>105.5</v>
      </c>
      <c r="X73" s="27">
        <v>112.27222222222223</v>
      </c>
      <c r="Y73" s="27">
        <v>116.93888888888888</v>
      </c>
      <c r="Z73" s="27">
        <v>104.36666666666666</v>
      </c>
      <c r="AA73" s="27">
        <v>0</v>
      </c>
      <c r="AB73" s="27">
        <v>0</v>
      </c>
      <c r="AC73" s="27">
        <v>0</v>
      </c>
      <c r="AD73" s="27">
        <v>493.25</v>
      </c>
      <c r="AE73" s="27">
        <v>229.21111111111111</v>
      </c>
      <c r="AF73" s="27">
        <v>104.36666666666666</v>
      </c>
      <c r="AG73" s="27">
        <v>797.3</v>
      </c>
      <c r="AH73" s="27">
        <v>826.82777777777778</v>
      </c>
      <c r="AI73" s="27">
        <v>901.66666666666663</v>
      </c>
      <c r="AJ73" s="28">
        <v>92.477777777777774</v>
      </c>
      <c r="AK73" s="28">
        <v>7.1888888888888891</v>
      </c>
      <c r="AL73" s="28">
        <v>99.666666666666657</v>
      </c>
      <c r="AM73" s="29">
        <v>74</v>
      </c>
      <c r="AN73" s="35">
        <v>75</v>
      </c>
      <c r="AO73" s="27">
        <v>75</v>
      </c>
      <c r="AP73" s="27">
        <v>79</v>
      </c>
      <c r="AQ73" s="27">
        <v>81</v>
      </c>
      <c r="AR73" s="27">
        <v>82</v>
      </c>
      <c r="AS73" s="27">
        <v>109</v>
      </c>
      <c r="AT73" s="27">
        <v>119</v>
      </c>
      <c r="AU73" s="27">
        <v>117</v>
      </c>
      <c r="AV73" s="27">
        <v>100</v>
      </c>
      <c r="AW73" s="27">
        <v>0</v>
      </c>
      <c r="AX73" s="27">
        <v>0</v>
      </c>
      <c r="AY73" s="27">
        <v>0</v>
      </c>
      <c r="AZ73" s="27">
        <v>501</v>
      </c>
      <c r="BA73" s="27">
        <v>236</v>
      </c>
      <c r="BB73" s="27">
        <v>100</v>
      </c>
      <c r="BC73" s="27">
        <v>811</v>
      </c>
      <c r="BD73" s="27">
        <v>837</v>
      </c>
      <c r="BE73" s="27">
        <v>911</v>
      </c>
      <c r="BF73" s="27">
        <v>0</v>
      </c>
      <c r="BG73" s="27">
        <v>74</v>
      </c>
      <c r="BH73" s="27">
        <v>0</v>
      </c>
      <c r="BI73" s="27">
        <v>194</v>
      </c>
      <c r="BJ73" s="27">
        <v>99</v>
      </c>
      <c r="BK73" s="29">
        <v>12</v>
      </c>
      <c r="BL73" s="29">
        <v>111</v>
      </c>
      <c r="BM73" s="29">
        <v>1</v>
      </c>
      <c r="BN73" s="30">
        <v>7.8589257428118953E-2</v>
      </c>
      <c r="BO73" s="31">
        <v>49.26</v>
      </c>
      <c r="BP73" s="31">
        <v>46.260000000000005</v>
      </c>
      <c r="BQ73" s="31">
        <v>43.388000000000005</v>
      </c>
      <c r="BR73" s="31">
        <v>47.704000000000001</v>
      </c>
      <c r="BS73" s="32">
        <v>0</v>
      </c>
      <c r="BT73" s="32">
        <v>0</v>
      </c>
      <c r="BU73" s="33">
        <v>0</v>
      </c>
      <c r="BV73" s="33">
        <v>74.533332999999999</v>
      </c>
      <c r="BW73" s="33">
        <v>0</v>
      </c>
      <c r="BX73" s="33">
        <v>74.533333333333331</v>
      </c>
      <c r="BY73" s="33">
        <v>76.205555555555549</v>
      </c>
      <c r="BZ73" s="33">
        <v>74.088888888888889</v>
      </c>
      <c r="CA73" s="33">
        <v>78.961111111111109</v>
      </c>
      <c r="CB73" s="33">
        <v>80.927777777777777</v>
      </c>
      <c r="CC73" s="33">
        <v>81.094444444444449</v>
      </c>
      <c r="CD73" s="33">
        <v>105.81111111111112</v>
      </c>
      <c r="CE73" s="33">
        <v>113.55555555555556</v>
      </c>
      <c r="CF73" s="33">
        <v>113.75555555555556</v>
      </c>
      <c r="CG73" s="33">
        <v>95.733333333333334</v>
      </c>
      <c r="CH73" s="33">
        <v>0</v>
      </c>
      <c r="CI73" s="33">
        <v>0</v>
      </c>
      <c r="CJ73" s="33">
        <v>0</v>
      </c>
      <c r="CK73" s="33">
        <v>497.08888888888885</v>
      </c>
      <c r="CL73" s="33">
        <v>227.31111111111113</v>
      </c>
      <c r="CM73" s="33">
        <v>95.733333333333334</v>
      </c>
      <c r="CN73" s="33">
        <v>798.93333333333339</v>
      </c>
      <c r="CO73" s="33">
        <v>820.13333333333333</v>
      </c>
      <c r="CP73" s="33">
        <v>894.66666666666674</v>
      </c>
      <c r="CQ73" s="33">
        <v>97.988888888888894</v>
      </c>
      <c r="CR73" s="33">
        <v>10.133333333333301</v>
      </c>
      <c r="CS73" s="33">
        <v>108.12222222222219</v>
      </c>
      <c r="CT73" s="33">
        <v>0</v>
      </c>
      <c r="CU73" s="33">
        <v>50</v>
      </c>
      <c r="CV73" s="32">
        <v>24</v>
      </c>
      <c r="CW73" s="32">
        <v>74</v>
      </c>
      <c r="CX73" s="32">
        <v>75</v>
      </c>
      <c r="CY73" s="32">
        <v>75</v>
      </c>
      <c r="CZ73" s="32">
        <v>80</v>
      </c>
      <c r="DA73" s="32">
        <v>81</v>
      </c>
      <c r="DB73" s="32">
        <v>81</v>
      </c>
      <c r="DC73" s="32">
        <v>108</v>
      </c>
      <c r="DD73" s="32">
        <v>117</v>
      </c>
      <c r="DE73" s="32">
        <v>121</v>
      </c>
      <c r="DF73" s="32">
        <v>99</v>
      </c>
      <c r="DG73" s="32">
        <v>0</v>
      </c>
      <c r="DH73" s="32">
        <v>0</v>
      </c>
      <c r="DI73" s="32">
        <v>0</v>
      </c>
      <c r="DJ73" s="32">
        <v>500</v>
      </c>
      <c r="DK73" s="32">
        <v>238</v>
      </c>
      <c r="DL73" s="32">
        <v>99</v>
      </c>
      <c r="DM73" s="32">
        <v>812</v>
      </c>
      <c r="DN73" s="32">
        <v>837</v>
      </c>
      <c r="DO73" s="32">
        <v>911</v>
      </c>
      <c r="DP73" s="32">
        <v>0</v>
      </c>
      <c r="DQ73" s="32">
        <v>151</v>
      </c>
      <c r="DR73" s="32">
        <v>89</v>
      </c>
      <c r="DS73" s="32">
        <v>5</v>
      </c>
      <c r="DT73" s="32">
        <v>94</v>
      </c>
      <c r="DU73" s="32">
        <v>27</v>
      </c>
      <c r="DV73" s="33">
        <v>50.999999999999993</v>
      </c>
      <c r="DW73" s="33">
        <v>47.999999999999993</v>
      </c>
      <c r="DX73" s="33">
        <v>23.5</v>
      </c>
      <c r="DY73" s="33">
        <v>19.732000000000003</v>
      </c>
      <c r="DZ73" s="33">
        <v>0</v>
      </c>
      <c r="EA73" s="33">
        <v>51.613</v>
      </c>
      <c r="EB73" s="34">
        <v>7.893600955686797E-2</v>
      </c>
      <c r="EC73" s="32"/>
      <c r="ED73" s="32">
        <v>102</v>
      </c>
      <c r="EE73" s="32">
        <v>1148</v>
      </c>
      <c r="EF73" s="32">
        <v>687</v>
      </c>
      <c r="EG73" s="32">
        <v>324</v>
      </c>
      <c r="EH73" s="32">
        <v>137</v>
      </c>
      <c r="EI73" s="32">
        <v>1250</v>
      </c>
      <c r="EJ73" s="32">
        <v>0</v>
      </c>
      <c r="EK73" s="32">
        <v>105</v>
      </c>
      <c r="EL73" s="32">
        <v>105</v>
      </c>
      <c r="EM73" s="32">
        <v>100</v>
      </c>
      <c r="EN73" s="32">
        <v>5</v>
      </c>
      <c r="EO73" s="32">
        <v>25</v>
      </c>
      <c r="EP73" s="33">
        <v>35.662999999999997</v>
      </c>
      <c r="EQ73" s="33">
        <v>0</v>
      </c>
      <c r="ER73" s="33">
        <v>3.7810000000000001</v>
      </c>
      <c r="ES73" s="33">
        <v>1.825</v>
      </c>
      <c r="ET73" s="33">
        <v>3.3879999999999999</v>
      </c>
      <c r="EU73" s="33">
        <v>44.656999999999996</v>
      </c>
    </row>
    <row r="74" spans="1:151" ht="41.4" x14ac:dyDescent="0.3">
      <c r="A74" s="25" t="s">
        <v>92</v>
      </c>
      <c r="B74" s="26" t="s">
        <v>329</v>
      </c>
      <c r="C74" s="27" t="s">
        <v>701</v>
      </c>
      <c r="D74" s="27" t="s">
        <v>272</v>
      </c>
      <c r="E74" s="26" t="s">
        <v>504</v>
      </c>
      <c r="F74" s="26" t="s">
        <v>504</v>
      </c>
      <c r="G74" s="28">
        <v>17.027777777777779</v>
      </c>
      <c r="H74" s="28">
        <v>0</v>
      </c>
      <c r="I74" s="29">
        <v>0</v>
      </c>
      <c r="J74" s="29">
        <v>0</v>
      </c>
      <c r="K74" s="29">
        <v>63</v>
      </c>
      <c r="L74" s="29">
        <v>155</v>
      </c>
      <c r="M74" s="29">
        <v>218</v>
      </c>
      <c r="N74" s="29">
        <v>218</v>
      </c>
      <c r="O74" s="29">
        <v>63</v>
      </c>
      <c r="P74" s="29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30.488888888888887</v>
      </c>
      <c r="Y74" s="27">
        <v>32</v>
      </c>
      <c r="Z74" s="27">
        <v>50.605555555555554</v>
      </c>
      <c r="AA74" s="27">
        <v>32.666666666666664</v>
      </c>
      <c r="AB74" s="27">
        <v>32</v>
      </c>
      <c r="AC74" s="27">
        <v>34.344444444444441</v>
      </c>
      <c r="AD74" s="27">
        <v>0</v>
      </c>
      <c r="AE74" s="27">
        <v>62.488888888888887</v>
      </c>
      <c r="AF74" s="27">
        <v>149.61666666666665</v>
      </c>
      <c r="AG74" s="27">
        <v>62.488888888888887</v>
      </c>
      <c r="AH74" s="27">
        <v>212.10555555555553</v>
      </c>
      <c r="AI74" s="27">
        <v>212.10555555555553</v>
      </c>
      <c r="AJ74" s="28">
        <v>20.31111111111111</v>
      </c>
      <c r="AK74" s="28">
        <v>0</v>
      </c>
      <c r="AL74" s="28">
        <v>20.31111111111111</v>
      </c>
      <c r="AM74" s="29">
        <v>0</v>
      </c>
      <c r="AN74" s="35">
        <v>0</v>
      </c>
      <c r="AO74" s="27">
        <v>0</v>
      </c>
      <c r="AP74" s="27">
        <v>0</v>
      </c>
      <c r="AQ74" s="27">
        <v>0</v>
      </c>
      <c r="AR74" s="27">
        <v>0</v>
      </c>
      <c r="AS74" s="27">
        <v>0</v>
      </c>
      <c r="AT74" s="27">
        <v>28</v>
      </c>
      <c r="AU74" s="27">
        <v>29</v>
      </c>
      <c r="AV74" s="27">
        <v>43</v>
      </c>
      <c r="AW74" s="27">
        <v>38</v>
      </c>
      <c r="AX74" s="27">
        <v>30</v>
      </c>
      <c r="AY74" s="27">
        <v>31</v>
      </c>
      <c r="AZ74" s="27">
        <v>0</v>
      </c>
      <c r="BA74" s="27">
        <v>57</v>
      </c>
      <c r="BB74" s="27">
        <v>142</v>
      </c>
      <c r="BC74" s="27">
        <v>57</v>
      </c>
      <c r="BD74" s="27">
        <v>199</v>
      </c>
      <c r="BE74" s="27">
        <v>199</v>
      </c>
      <c r="BF74" s="27">
        <v>0</v>
      </c>
      <c r="BG74" s="27">
        <v>0</v>
      </c>
      <c r="BH74" s="27">
        <v>0</v>
      </c>
      <c r="BI74" s="27">
        <v>57</v>
      </c>
      <c r="BJ74" s="27">
        <v>25</v>
      </c>
      <c r="BK74" s="29">
        <v>0</v>
      </c>
      <c r="BL74" s="29">
        <v>25</v>
      </c>
      <c r="BM74" s="29">
        <v>4</v>
      </c>
      <c r="BN74" s="30">
        <v>9.2910702113156107E-2</v>
      </c>
      <c r="BO74" s="31">
        <v>13.45</v>
      </c>
      <c r="BP74" s="31">
        <v>11.94</v>
      </c>
      <c r="BQ74" s="31">
        <v>11.94</v>
      </c>
      <c r="BR74" s="31">
        <v>13.45</v>
      </c>
      <c r="BS74" s="32">
        <v>0</v>
      </c>
      <c r="BT74" s="32">
        <v>0</v>
      </c>
      <c r="BU74" s="33">
        <v>0</v>
      </c>
      <c r="BV74" s="33">
        <v>0</v>
      </c>
      <c r="BW74" s="33">
        <v>0</v>
      </c>
      <c r="BX74" s="33">
        <v>0</v>
      </c>
      <c r="BY74" s="33">
        <v>0</v>
      </c>
      <c r="BZ74" s="33">
        <v>0</v>
      </c>
      <c r="CA74" s="33">
        <v>0</v>
      </c>
      <c r="CB74" s="33">
        <v>0</v>
      </c>
      <c r="CC74" s="33">
        <v>0</v>
      </c>
      <c r="CD74" s="33">
        <v>0</v>
      </c>
      <c r="CE74" s="33">
        <v>27.65</v>
      </c>
      <c r="CF74" s="33">
        <v>29.022222222222222</v>
      </c>
      <c r="CG74" s="33">
        <v>42.605555555555554</v>
      </c>
      <c r="CH74" s="33">
        <v>35.905555555555559</v>
      </c>
      <c r="CI74" s="33">
        <v>29.205555555555556</v>
      </c>
      <c r="CJ74" s="33">
        <v>29.333333333333332</v>
      </c>
      <c r="CK74" s="33">
        <v>0</v>
      </c>
      <c r="CL74" s="33">
        <v>56.672222222222217</v>
      </c>
      <c r="CM74" s="33">
        <v>137.05000000000001</v>
      </c>
      <c r="CN74" s="33">
        <v>56.672222222222217</v>
      </c>
      <c r="CO74" s="33">
        <v>193.72222222222223</v>
      </c>
      <c r="CP74" s="33">
        <v>193.72222222222223</v>
      </c>
      <c r="CQ74" s="33">
        <v>25.1</v>
      </c>
      <c r="CR74" s="33">
        <v>0</v>
      </c>
      <c r="CS74" s="33">
        <v>25.1</v>
      </c>
      <c r="CT74" s="33">
        <v>0</v>
      </c>
      <c r="CU74" s="33">
        <v>0</v>
      </c>
      <c r="CV74" s="32">
        <v>0</v>
      </c>
      <c r="CW74" s="32">
        <v>0</v>
      </c>
      <c r="CX74" s="32">
        <v>0</v>
      </c>
      <c r="CY74" s="32">
        <v>0</v>
      </c>
      <c r="CZ74" s="32">
        <v>0</v>
      </c>
      <c r="DA74" s="32">
        <v>0</v>
      </c>
      <c r="DB74" s="32">
        <v>0</v>
      </c>
      <c r="DC74" s="32">
        <v>0</v>
      </c>
      <c r="DD74" s="32">
        <v>24</v>
      </c>
      <c r="DE74" s="32">
        <v>27</v>
      </c>
      <c r="DF74" s="32">
        <v>48</v>
      </c>
      <c r="DG74" s="32">
        <v>34</v>
      </c>
      <c r="DH74" s="32">
        <v>36</v>
      </c>
      <c r="DI74" s="32">
        <v>28</v>
      </c>
      <c r="DJ74" s="32">
        <v>0</v>
      </c>
      <c r="DK74" s="32">
        <v>51</v>
      </c>
      <c r="DL74" s="32">
        <v>146</v>
      </c>
      <c r="DM74" s="32">
        <v>51</v>
      </c>
      <c r="DN74" s="32">
        <v>197</v>
      </c>
      <c r="DO74" s="32">
        <v>197</v>
      </c>
      <c r="DP74" s="32">
        <v>0</v>
      </c>
      <c r="DQ74" s="32">
        <v>58</v>
      </c>
      <c r="DR74" s="32">
        <v>32</v>
      </c>
      <c r="DS74" s="32">
        <v>0</v>
      </c>
      <c r="DT74" s="32">
        <v>32</v>
      </c>
      <c r="DU74" s="32">
        <v>7</v>
      </c>
      <c r="DV74" s="33">
        <v>13.200000000000001</v>
      </c>
      <c r="DW74" s="33">
        <v>11.700000000000001</v>
      </c>
      <c r="DX74" s="33">
        <v>0</v>
      </c>
      <c r="DY74" s="33">
        <v>9.8800000000000008</v>
      </c>
      <c r="DZ74" s="33">
        <v>0</v>
      </c>
      <c r="EA74" s="33">
        <v>13.200000000000001</v>
      </c>
      <c r="EB74" s="34">
        <v>9.6153846153846145E-2</v>
      </c>
      <c r="EC74" s="32"/>
      <c r="ED74" s="32">
        <v>0</v>
      </c>
      <c r="EE74" s="32">
        <v>197</v>
      </c>
      <c r="EF74" s="32">
        <v>0</v>
      </c>
      <c r="EG74" s="32">
        <v>48</v>
      </c>
      <c r="EH74" s="32">
        <v>149</v>
      </c>
      <c r="EI74" s="32">
        <v>197</v>
      </c>
      <c r="EJ74" s="32">
        <v>0</v>
      </c>
      <c r="EK74" s="32">
        <v>30</v>
      </c>
      <c r="EL74" s="32">
        <v>30</v>
      </c>
      <c r="EM74" s="32">
        <v>30</v>
      </c>
      <c r="EN74" s="32">
        <v>0</v>
      </c>
      <c r="EO74" s="32">
        <v>0</v>
      </c>
      <c r="EP74" s="33">
        <v>0.5</v>
      </c>
      <c r="EQ74" s="33">
        <v>0</v>
      </c>
      <c r="ER74" s="33">
        <v>0.9</v>
      </c>
      <c r="ES74" s="33">
        <v>0</v>
      </c>
      <c r="ET74" s="33">
        <v>0</v>
      </c>
      <c r="EU74" s="33">
        <v>1.4</v>
      </c>
    </row>
    <row r="75" spans="1:151" x14ac:dyDescent="0.3">
      <c r="A75" s="25" t="s">
        <v>108</v>
      </c>
      <c r="B75" s="26" t="s">
        <v>344</v>
      </c>
      <c r="C75" s="27" t="s">
        <v>109</v>
      </c>
      <c r="D75" s="27" t="s">
        <v>272</v>
      </c>
      <c r="E75" s="26" t="s">
        <v>504</v>
      </c>
      <c r="F75" s="26" t="s">
        <v>504</v>
      </c>
      <c r="G75" s="28">
        <v>52.216666666666669</v>
      </c>
      <c r="H75" s="28">
        <v>1.1888888888888889</v>
      </c>
      <c r="I75" s="29">
        <v>65</v>
      </c>
      <c r="J75" s="29">
        <v>414</v>
      </c>
      <c r="K75" s="29">
        <v>89</v>
      </c>
      <c r="L75" s="29">
        <v>0</v>
      </c>
      <c r="M75" s="29">
        <v>568</v>
      </c>
      <c r="N75" s="29">
        <v>503</v>
      </c>
      <c r="O75" s="29">
        <v>568</v>
      </c>
      <c r="P75" s="29">
        <v>2</v>
      </c>
      <c r="Q75" s="27">
        <v>63.744444444444447</v>
      </c>
      <c r="R75" s="27">
        <v>67.95</v>
      </c>
      <c r="S75" s="27">
        <v>72.694444444444443</v>
      </c>
      <c r="T75" s="27">
        <v>83.211111111111109</v>
      </c>
      <c r="U75" s="27">
        <v>75.233333333333334</v>
      </c>
      <c r="V75" s="27">
        <v>60.733333333333334</v>
      </c>
      <c r="W75" s="27">
        <v>55.694444444444443</v>
      </c>
      <c r="X75" s="27">
        <v>49.511111111111113</v>
      </c>
      <c r="Y75" s="27">
        <v>37.444444444444443</v>
      </c>
      <c r="Z75" s="27">
        <v>0</v>
      </c>
      <c r="AA75" s="27">
        <v>0</v>
      </c>
      <c r="AB75" s="27">
        <v>0</v>
      </c>
      <c r="AC75" s="27">
        <v>0</v>
      </c>
      <c r="AD75" s="27">
        <v>415.51666666666671</v>
      </c>
      <c r="AE75" s="27">
        <v>86.955555555555549</v>
      </c>
      <c r="AF75" s="27">
        <v>0</v>
      </c>
      <c r="AG75" s="27">
        <v>566.2166666666667</v>
      </c>
      <c r="AH75" s="27">
        <v>502.47222222222229</v>
      </c>
      <c r="AI75" s="27">
        <v>566.2166666666667</v>
      </c>
      <c r="AJ75" s="28">
        <v>62.255555555555553</v>
      </c>
      <c r="AK75" s="28">
        <v>2.1388888888888888</v>
      </c>
      <c r="AL75" s="28">
        <v>64.394444444444446</v>
      </c>
      <c r="AM75" s="29">
        <v>53</v>
      </c>
      <c r="AN75" s="35">
        <v>54</v>
      </c>
      <c r="AO75" s="27">
        <v>63</v>
      </c>
      <c r="AP75" s="27">
        <v>66</v>
      </c>
      <c r="AQ75" s="27">
        <v>81</v>
      </c>
      <c r="AR75" s="27">
        <v>74</v>
      </c>
      <c r="AS75" s="27">
        <v>51</v>
      </c>
      <c r="AT75" s="27">
        <v>54</v>
      </c>
      <c r="AU75" s="27">
        <v>46</v>
      </c>
      <c r="AV75" s="27">
        <v>0</v>
      </c>
      <c r="AW75" s="27">
        <v>0</v>
      </c>
      <c r="AX75" s="27">
        <v>0</v>
      </c>
      <c r="AY75" s="27">
        <v>0</v>
      </c>
      <c r="AZ75" s="27">
        <v>389</v>
      </c>
      <c r="BA75" s="27">
        <v>100</v>
      </c>
      <c r="BB75" s="27">
        <v>0</v>
      </c>
      <c r="BC75" s="27">
        <v>542</v>
      </c>
      <c r="BD75" s="27">
        <v>489</v>
      </c>
      <c r="BE75" s="27">
        <v>542</v>
      </c>
      <c r="BF75" s="27">
        <v>42</v>
      </c>
      <c r="BG75" s="27">
        <v>11</v>
      </c>
      <c r="BH75" s="27">
        <v>0</v>
      </c>
      <c r="BI75" s="27">
        <v>71</v>
      </c>
      <c r="BJ75" s="27">
        <v>65</v>
      </c>
      <c r="BK75" s="29">
        <v>3</v>
      </c>
      <c r="BL75" s="29">
        <v>68</v>
      </c>
      <c r="BM75" s="29">
        <v>35</v>
      </c>
      <c r="BN75" s="30">
        <v>6.4062500000000078E-2</v>
      </c>
      <c r="BO75" s="31">
        <v>36.5</v>
      </c>
      <c r="BP75" s="31">
        <v>35.5</v>
      </c>
      <c r="BQ75" s="31">
        <v>34.5</v>
      </c>
      <c r="BR75" s="31">
        <v>38</v>
      </c>
      <c r="BS75" s="32">
        <v>0</v>
      </c>
      <c r="BT75" s="32">
        <v>0</v>
      </c>
      <c r="BU75" s="33">
        <v>0</v>
      </c>
      <c r="BV75" s="33">
        <v>15.033333000000001</v>
      </c>
      <c r="BW75" s="33">
        <v>42.233333000000002</v>
      </c>
      <c r="BX75" s="33">
        <v>57.266666666666666</v>
      </c>
      <c r="BY75" s="33">
        <v>52.81111111111111</v>
      </c>
      <c r="BZ75" s="33">
        <v>61.56666666666667</v>
      </c>
      <c r="CA75" s="33">
        <v>66.25</v>
      </c>
      <c r="CB75" s="33">
        <v>79.655555555555551</v>
      </c>
      <c r="CC75" s="33">
        <v>72.86666666666666</v>
      </c>
      <c r="CD75" s="33">
        <v>52.555555555555557</v>
      </c>
      <c r="CE75" s="33">
        <v>53.56666666666667</v>
      </c>
      <c r="CF75" s="33">
        <v>45.116666666666667</v>
      </c>
      <c r="CG75" s="33">
        <v>0</v>
      </c>
      <c r="CH75" s="33">
        <v>0</v>
      </c>
      <c r="CI75" s="33">
        <v>0</v>
      </c>
      <c r="CJ75" s="33">
        <v>0</v>
      </c>
      <c r="CK75" s="33">
        <v>385.70555555555558</v>
      </c>
      <c r="CL75" s="33">
        <v>98.683333333333337</v>
      </c>
      <c r="CM75" s="33">
        <v>0</v>
      </c>
      <c r="CN75" s="33">
        <v>541.65555555555557</v>
      </c>
      <c r="CO75" s="33">
        <v>484.38888888888891</v>
      </c>
      <c r="CP75" s="33">
        <v>541.65555555555557</v>
      </c>
      <c r="CQ75" s="33">
        <v>62.794444444444402</v>
      </c>
      <c r="CR75" s="33">
        <v>3</v>
      </c>
      <c r="CS75" s="33">
        <v>65.794444444444395</v>
      </c>
      <c r="CT75" s="33">
        <v>0</v>
      </c>
      <c r="CU75" s="33">
        <v>62</v>
      </c>
      <c r="CV75" s="32">
        <v>7</v>
      </c>
      <c r="CW75" s="32">
        <v>69</v>
      </c>
      <c r="CX75" s="32">
        <v>72</v>
      </c>
      <c r="CY75" s="32">
        <v>66</v>
      </c>
      <c r="CZ75" s="32">
        <v>66</v>
      </c>
      <c r="DA75" s="32">
        <v>72</v>
      </c>
      <c r="DB75" s="32">
        <v>83</v>
      </c>
      <c r="DC75" s="32">
        <v>71</v>
      </c>
      <c r="DD75" s="32">
        <v>51</v>
      </c>
      <c r="DE75" s="32">
        <v>54</v>
      </c>
      <c r="DF75" s="32">
        <v>0</v>
      </c>
      <c r="DG75" s="32">
        <v>0</v>
      </c>
      <c r="DH75" s="32">
        <v>0</v>
      </c>
      <c r="DI75" s="32">
        <v>0</v>
      </c>
      <c r="DJ75" s="32">
        <v>430</v>
      </c>
      <c r="DK75" s="32">
        <v>105</v>
      </c>
      <c r="DL75" s="32">
        <v>0</v>
      </c>
      <c r="DM75" s="32">
        <v>604</v>
      </c>
      <c r="DN75" s="32">
        <v>535</v>
      </c>
      <c r="DO75" s="32">
        <v>604</v>
      </c>
      <c r="DP75" s="32">
        <v>0</v>
      </c>
      <c r="DQ75" s="32">
        <v>106</v>
      </c>
      <c r="DR75" s="32">
        <v>67</v>
      </c>
      <c r="DS75" s="32">
        <v>1</v>
      </c>
      <c r="DT75" s="32">
        <v>68</v>
      </c>
      <c r="DU75" s="32">
        <v>74</v>
      </c>
      <c r="DV75" s="33">
        <v>41.155999999999999</v>
      </c>
      <c r="DW75" s="33">
        <v>39.155999999999999</v>
      </c>
      <c r="DX75" s="33">
        <v>23.7</v>
      </c>
      <c r="DY75" s="33">
        <v>11.3</v>
      </c>
      <c r="DZ75" s="33">
        <v>0</v>
      </c>
      <c r="EA75" s="33">
        <v>42.155999999999999</v>
      </c>
      <c r="EB75" s="34">
        <v>5.8506944444444542E-2</v>
      </c>
      <c r="EC75" s="32"/>
      <c r="ED75" s="32">
        <v>70</v>
      </c>
      <c r="EE75" s="32">
        <v>530</v>
      </c>
      <c r="EF75" s="32">
        <v>423</v>
      </c>
      <c r="EG75" s="32">
        <v>107</v>
      </c>
      <c r="EH75" s="32">
        <v>0</v>
      </c>
      <c r="EI75" s="32">
        <v>600</v>
      </c>
      <c r="EJ75" s="32">
        <v>0</v>
      </c>
      <c r="EK75" s="32">
        <v>66</v>
      </c>
      <c r="EL75" s="32">
        <v>66</v>
      </c>
      <c r="EM75" s="32">
        <v>65</v>
      </c>
      <c r="EN75" s="32">
        <v>1</v>
      </c>
      <c r="EO75" s="32">
        <v>2</v>
      </c>
      <c r="EP75" s="33">
        <v>10.733000000000001</v>
      </c>
      <c r="EQ75" s="33">
        <v>1.2050000000000001</v>
      </c>
      <c r="ER75" s="33">
        <v>2.4550000000000001</v>
      </c>
      <c r="ES75" s="33">
        <v>0</v>
      </c>
      <c r="ET75" s="33">
        <v>5.0659999999999998</v>
      </c>
      <c r="EU75" s="33">
        <v>19.459</v>
      </c>
    </row>
    <row r="76" spans="1:151" ht="69" x14ac:dyDescent="0.3">
      <c r="A76" s="25" t="s">
        <v>125</v>
      </c>
      <c r="B76" s="26" t="s">
        <v>360</v>
      </c>
      <c r="C76" s="27" t="s">
        <v>702</v>
      </c>
      <c r="D76" s="27" t="s">
        <v>272</v>
      </c>
      <c r="E76" s="26" t="s">
        <v>504</v>
      </c>
      <c r="F76" s="26" t="s">
        <v>504</v>
      </c>
      <c r="G76" s="28">
        <v>39.033333333333331</v>
      </c>
      <c r="H76" s="28">
        <v>3</v>
      </c>
      <c r="I76" s="29">
        <v>0</v>
      </c>
      <c r="J76" s="29">
        <v>0</v>
      </c>
      <c r="K76" s="29">
        <v>206</v>
      </c>
      <c r="L76" s="29">
        <v>417</v>
      </c>
      <c r="M76" s="29">
        <v>623</v>
      </c>
      <c r="N76" s="29">
        <v>623</v>
      </c>
      <c r="O76" s="29">
        <v>206</v>
      </c>
      <c r="P76" s="29">
        <v>2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102.57222222222222</v>
      </c>
      <c r="Y76" s="27">
        <v>104.04444444444445</v>
      </c>
      <c r="Z76" s="27">
        <v>119.85</v>
      </c>
      <c r="AA76" s="27">
        <v>107.91666666666667</v>
      </c>
      <c r="AB76" s="27">
        <v>93.55</v>
      </c>
      <c r="AC76" s="27">
        <v>84.277777777777771</v>
      </c>
      <c r="AD76" s="27">
        <v>0</v>
      </c>
      <c r="AE76" s="27">
        <v>206.61666666666667</v>
      </c>
      <c r="AF76" s="27">
        <v>405.59444444444443</v>
      </c>
      <c r="AG76" s="27">
        <v>206.61666666666667</v>
      </c>
      <c r="AH76" s="27">
        <v>612.21111111111122</v>
      </c>
      <c r="AI76" s="27">
        <v>612.21111111111122</v>
      </c>
      <c r="AJ76" s="28">
        <v>47.055555555555557</v>
      </c>
      <c r="AK76" s="28">
        <v>2</v>
      </c>
      <c r="AL76" s="28">
        <v>49.055555555555557</v>
      </c>
      <c r="AM76" s="29">
        <v>0</v>
      </c>
      <c r="AN76" s="35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  <c r="AT76" s="27">
        <v>106</v>
      </c>
      <c r="AU76" s="27">
        <v>104</v>
      </c>
      <c r="AV76" s="27">
        <v>125</v>
      </c>
      <c r="AW76" s="27">
        <v>114</v>
      </c>
      <c r="AX76" s="27">
        <v>97</v>
      </c>
      <c r="AY76" s="27">
        <v>89</v>
      </c>
      <c r="AZ76" s="27">
        <v>0</v>
      </c>
      <c r="BA76" s="27">
        <v>210</v>
      </c>
      <c r="BB76" s="27">
        <v>425</v>
      </c>
      <c r="BC76" s="27">
        <v>210</v>
      </c>
      <c r="BD76" s="27">
        <v>635</v>
      </c>
      <c r="BE76" s="27">
        <v>635</v>
      </c>
      <c r="BF76" s="27">
        <v>0</v>
      </c>
      <c r="BG76" s="27">
        <v>0</v>
      </c>
      <c r="BH76" s="27">
        <v>0</v>
      </c>
      <c r="BI76" s="27">
        <v>44</v>
      </c>
      <c r="BJ76" s="27">
        <v>48</v>
      </c>
      <c r="BK76" s="29">
        <v>3</v>
      </c>
      <c r="BL76" s="29">
        <v>51</v>
      </c>
      <c r="BM76" s="29">
        <v>7</v>
      </c>
      <c r="BN76" s="30">
        <v>6.8605012830149581E-2</v>
      </c>
      <c r="BO76" s="31">
        <v>34.840999999999994</v>
      </c>
      <c r="BP76" s="31">
        <v>34.340999999999994</v>
      </c>
      <c r="BQ76" s="31">
        <v>34.340999999999994</v>
      </c>
      <c r="BR76" s="31">
        <v>36.841000000000008</v>
      </c>
      <c r="BS76" s="32">
        <v>0</v>
      </c>
      <c r="BT76" s="32">
        <v>0</v>
      </c>
      <c r="BU76" s="33">
        <v>0</v>
      </c>
      <c r="BV76" s="33">
        <v>0</v>
      </c>
      <c r="BW76" s="33">
        <v>0</v>
      </c>
      <c r="BX76" s="33">
        <v>0</v>
      </c>
      <c r="BY76" s="33">
        <v>0</v>
      </c>
      <c r="BZ76" s="33">
        <v>0</v>
      </c>
      <c r="CA76" s="33">
        <v>0</v>
      </c>
      <c r="CB76" s="33">
        <v>0</v>
      </c>
      <c r="CC76" s="33">
        <v>0</v>
      </c>
      <c r="CD76" s="33">
        <v>0</v>
      </c>
      <c r="CE76" s="33">
        <v>105.47777777777777</v>
      </c>
      <c r="CF76" s="33">
        <v>103.48333333333333</v>
      </c>
      <c r="CG76" s="33">
        <v>125.08333333333333</v>
      </c>
      <c r="CH76" s="33">
        <v>109.81111111111112</v>
      </c>
      <c r="CI76" s="33">
        <v>94.483333333333334</v>
      </c>
      <c r="CJ76" s="33">
        <v>87.2</v>
      </c>
      <c r="CK76" s="33">
        <v>0</v>
      </c>
      <c r="CL76" s="33">
        <v>208.96111111111111</v>
      </c>
      <c r="CM76" s="33">
        <v>416.57777777777778</v>
      </c>
      <c r="CN76" s="33">
        <v>208.96111111111111</v>
      </c>
      <c r="CO76" s="33">
        <v>625.53888888888889</v>
      </c>
      <c r="CP76" s="33">
        <v>625.53888888888889</v>
      </c>
      <c r="CQ76" s="33">
        <v>47.733333333333299</v>
      </c>
      <c r="CR76" s="33">
        <v>2.4666666666666699</v>
      </c>
      <c r="CS76" s="33">
        <v>50.199999999999967</v>
      </c>
      <c r="CT76" s="33">
        <v>0</v>
      </c>
      <c r="CU76" s="33">
        <v>0</v>
      </c>
      <c r="CV76" s="32">
        <v>0</v>
      </c>
      <c r="CW76" s="32">
        <v>0</v>
      </c>
      <c r="CX76" s="32">
        <v>0</v>
      </c>
      <c r="CY76" s="32">
        <v>0</v>
      </c>
      <c r="CZ76" s="32">
        <v>0</v>
      </c>
      <c r="DA76" s="32">
        <v>0</v>
      </c>
      <c r="DB76" s="32">
        <v>0</v>
      </c>
      <c r="DC76" s="32">
        <v>0</v>
      </c>
      <c r="DD76" s="32">
        <v>114</v>
      </c>
      <c r="DE76" s="32">
        <v>112</v>
      </c>
      <c r="DF76" s="32">
        <v>124</v>
      </c>
      <c r="DG76" s="32">
        <v>115</v>
      </c>
      <c r="DH76" s="32">
        <v>101</v>
      </c>
      <c r="DI76" s="32">
        <v>88</v>
      </c>
      <c r="DJ76" s="32">
        <v>0</v>
      </c>
      <c r="DK76" s="32">
        <v>226</v>
      </c>
      <c r="DL76" s="32">
        <v>428</v>
      </c>
      <c r="DM76" s="32">
        <v>226</v>
      </c>
      <c r="DN76" s="32">
        <v>654</v>
      </c>
      <c r="DO76" s="32">
        <v>654</v>
      </c>
      <c r="DP76" s="32">
        <v>2</v>
      </c>
      <c r="DQ76" s="32">
        <v>52</v>
      </c>
      <c r="DR76" s="32">
        <v>56</v>
      </c>
      <c r="DS76" s="32">
        <v>1</v>
      </c>
      <c r="DT76" s="32">
        <v>57</v>
      </c>
      <c r="DU76" s="32">
        <v>2</v>
      </c>
      <c r="DV76" s="33">
        <v>40.986999999999995</v>
      </c>
      <c r="DW76" s="33">
        <v>40.486999999999995</v>
      </c>
      <c r="DX76" s="33">
        <v>0.34</v>
      </c>
      <c r="DY76" s="33">
        <v>36.408000000000001</v>
      </c>
      <c r="DZ76" s="33">
        <v>0</v>
      </c>
      <c r="EA76" s="33">
        <v>44.486999999999995</v>
      </c>
      <c r="EB76" s="34">
        <v>7.0462689272468737E-2</v>
      </c>
      <c r="EC76" s="32"/>
      <c r="ED76" s="32">
        <v>0</v>
      </c>
      <c r="EE76" s="32">
        <v>651</v>
      </c>
      <c r="EF76" s="32">
        <v>0</v>
      </c>
      <c r="EG76" s="32">
        <v>224</v>
      </c>
      <c r="EH76" s="32">
        <v>427</v>
      </c>
      <c r="EI76" s="32">
        <v>651</v>
      </c>
      <c r="EJ76" s="32">
        <v>0</v>
      </c>
      <c r="EK76" s="32">
        <v>56</v>
      </c>
      <c r="EL76" s="32">
        <v>56</v>
      </c>
      <c r="EM76" s="32">
        <v>55</v>
      </c>
      <c r="EN76" s="32">
        <v>1</v>
      </c>
      <c r="EO76" s="32">
        <v>0</v>
      </c>
      <c r="EP76" s="33">
        <v>6</v>
      </c>
      <c r="EQ76" s="33">
        <v>1</v>
      </c>
      <c r="ER76" s="33">
        <v>4.75</v>
      </c>
      <c r="ES76" s="33">
        <v>0</v>
      </c>
      <c r="ET76" s="33">
        <v>0</v>
      </c>
      <c r="EU76" s="33">
        <v>11.75</v>
      </c>
    </row>
    <row r="77" spans="1:151" ht="41.4" x14ac:dyDescent="0.3">
      <c r="A77" s="25" t="s">
        <v>141</v>
      </c>
      <c r="B77" s="26" t="s">
        <v>372</v>
      </c>
      <c r="C77" s="27" t="s">
        <v>142</v>
      </c>
      <c r="D77" s="27" t="s">
        <v>272</v>
      </c>
      <c r="E77" s="26" t="s">
        <v>504</v>
      </c>
      <c r="F77" s="26" t="s">
        <v>504</v>
      </c>
      <c r="G77" s="28">
        <v>56.272222222222226</v>
      </c>
      <c r="H77" s="28">
        <v>0.28888888888888886</v>
      </c>
      <c r="I77" s="29">
        <v>0</v>
      </c>
      <c r="J77" s="29">
        <v>0</v>
      </c>
      <c r="K77" s="29">
        <v>50</v>
      </c>
      <c r="L77" s="29">
        <v>196</v>
      </c>
      <c r="M77" s="29">
        <v>246</v>
      </c>
      <c r="N77" s="29">
        <v>246</v>
      </c>
      <c r="O77" s="29">
        <v>50</v>
      </c>
      <c r="P77" s="29">
        <v>3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17.149999999999999</v>
      </c>
      <c r="Y77" s="27">
        <v>35.111111111111114</v>
      </c>
      <c r="Z77" s="27">
        <v>40.516666666666666</v>
      </c>
      <c r="AA77" s="27">
        <v>58.022222222222226</v>
      </c>
      <c r="AB77" s="27">
        <v>53.977777777777774</v>
      </c>
      <c r="AC77" s="27">
        <v>50.305555555555557</v>
      </c>
      <c r="AD77" s="27">
        <v>0</v>
      </c>
      <c r="AE77" s="27">
        <v>52.261111111111113</v>
      </c>
      <c r="AF77" s="27">
        <v>202.82222222222219</v>
      </c>
      <c r="AG77" s="27">
        <v>52.261111111111113</v>
      </c>
      <c r="AH77" s="27">
        <v>255.08333333333331</v>
      </c>
      <c r="AI77" s="27">
        <v>255.08333333333331</v>
      </c>
      <c r="AJ77" s="28">
        <v>59.966666666666669</v>
      </c>
      <c r="AK77" s="28">
        <v>2.0777777777777779</v>
      </c>
      <c r="AL77" s="28">
        <v>62.044444444444444</v>
      </c>
      <c r="AM77" s="29">
        <v>0</v>
      </c>
      <c r="AN77" s="35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  <c r="AT77" s="27">
        <v>19</v>
      </c>
      <c r="AU77" s="27">
        <v>26</v>
      </c>
      <c r="AV77" s="27">
        <v>46</v>
      </c>
      <c r="AW77" s="27">
        <v>53</v>
      </c>
      <c r="AX77" s="27">
        <v>60</v>
      </c>
      <c r="AY77" s="27">
        <v>47</v>
      </c>
      <c r="AZ77" s="27">
        <v>0</v>
      </c>
      <c r="BA77" s="27">
        <v>45</v>
      </c>
      <c r="BB77" s="27">
        <v>206</v>
      </c>
      <c r="BC77" s="27">
        <v>45</v>
      </c>
      <c r="BD77" s="27">
        <v>251</v>
      </c>
      <c r="BE77" s="27">
        <v>251</v>
      </c>
      <c r="BF77" s="27">
        <v>0</v>
      </c>
      <c r="BG77" s="27">
        <v>0</v>
      </c>
      <c r="BH77" s="27">
        <v>1</v>
      </c>
      <c r="BI77" s="27">
        <v>49</v>
      </c>
      <c r="BJ77" s="27">
        <v>57</v>
      </c>
      <c r="BK77" s="29">
        <v>2</v>
      </c>
      <c r="BL77" s="29">
        <v>59</v>
      </c>
      <c r="BM77" s="29">
        <v>0</v>
      </c>
      <c r="BN77" s="30">
        <v>6.4751713693607493E-2</v>
      </c>
      <c r="BO77" s="31">
        <v>17.106000000000002</v>
      </c>
      <c r="BP77" s="31">
        <v>17.106000000000002</v>
      </c>
      <c r="BQ77" s="31">
        <v>17.106000000000002</v>
      </c>
      <c r="BR77" s="31">
        <v>18.106000000000002</v>
      </c>
      <c r="BS77" s="32">
        <v>0</v>
      </c>
      <c r="BT77" s="32">
        <v>0</v>
      </c>
      <c r="BU77" s="33">
        <v>0</v>
      </c>
      <c r="BV77" s="33">
        <v>0</v>
      </c>
      <c r="BW77" s="33">
        <v>0</v>
      </c>
      <c r="BX77" s="33">
        <v>0</v>
      </c>
      <c r="BY77" s="33">
        <v>0</v>
      </c>
      <c r="BZ77" s="33">
        <v>0</v>
      </c>
      <c r="CA77" s="33">
        <v>0</v>
      </c>
      <c r="CB77" s="33">
        <v>0</v>
      </c>
      <c r="CC77" s="33">
        <v>0</v>
      </c>
      <c r="CD77" s="33">
        <v>0</v>
      </c>
      <c r="CE77" s="33">
        <v>18.516666666666666</v>
      </c>
      <c r="CF77" s="33">
        <v>30.333333333333332</v>
      </c>
      <c r="CG77" s="33">
        <v>47.93333333333333</v>
      </c>
      <c r="CH77" s="33">
        <v>54.666666666666664</v>
      </c>
      <c r="CI77" s="33">
        <v>54.37777777777778</v>
      </c>
      <c r="CJ77" s="33">
        <v>47.461111111111109</v>
      </c>
      <c r="CK77" s="33">
        <v>0</v>
      </c>
      <c r="CL77" s="33">
        <v>48.849999999999994</v>
      </c>
      <c r="CM77" s="33">
        <v>204.43888888888887</v>
      </c>
      <c r="CN77" s="33">
        <v>48.849999999999994</v>
      </c>
      <c r="CO77" s="33">
        <v>253.28888888888889</v>
      </c>
      <c r="CP77" s="33">
        <v>253.28888888888889</v>
      </c>
      <c r="CQ77" s="33">
        <v>52.661111111111097</v>
      </c>
      <c r="CR77" s="33">
        <v>2.12222222222222</v>
      </c>
      <c r="CS77" s="33">
        <v>54.783333333333317</v>
      </c>
      <c r="CT77" s="33">
        <v>0</v>
      </c>
      <c r="CU77" s="33">
        <v>0</v>
      </c>
      <c r="CV77" s="32">
        <v>0</v>
      </c>
      <c r="CW77" s="32">
        <v>0</v>
      </c>
      <c r="CX77" s="32">
        <v>0</v>
      </c>
      <c r="CY77" s="32">
        <v>0</v>
      </c>
      <c r="CZ77" s="32">
        <v>0</v>
      </c>
      <c r="DA77" s="32">
        <v>0</v>
      </c>
      <c r="DB77" s="32">
        <v>0</v>
      </c>
      <c r="DC77" s="32">
        <v>0</v>
      </c>
      <c r="DD77" s="32">
        <v>33</v>
      </c>
      <c r="DE77" s="32">
        <v>31</v>
      </c>
      <c r="DF77" s="32">
        <v>45</v>
      </c>
      <c r="DG77" s="32">
        <v>67</v>
      </c>
      <c r="DH77" s="32">
        <v>59</v>
      </c>
      <c r="DI77" s="32">
        <v>52</v>
      </c>
      <c r="DJ77" s="32">
        <v>0</v>
      </c>
      <c r="DK77" s="32">
        <v>64</v>
      </c>
      <c r="DL77" s="32">
        <v>223</v>
      </c>
      <c r="DM77" s="32">
        <v>64</v>
      </c>
      <c r="DN77" s="32">
        <v>287</v>
      </c>
      <c r="DO77" s="32">
        <v>287</v>
      </c>
      <c r="DP77" s="32">
        <v>6</v>
      </c>
      <c r="DQ77" s="32">
        <v>62</v>
      </c>
      <c r="DR77" s="32">
        <v>52</v>
      </c>
      <c r="DS77" s="32">
        <v>2</v>
      </c>
      <c r="DT77" s="32">
        <v>54</v>
      </c>
      <c r="DU77" s="32">
        <v>0</v>
      </c>
      <c r="DV77" s="33">
        <v>16.905999999999999</v>
      </c>
      <c r="DW77" s="33">
        <v>16.905999999999999</v>
      </c>
      <c r="DX77" s="33">
        <v>0</v>
      </c>
      <c r="DY77" s="33">
        <v>14.356000000000002</v>
      </c>
      <c r="DZ77" s="33">
        <v>0</v>
      </c>
      <c r="EA77" s="33">
        <v>17.956000000000003</v>
      </c>
      <c r="EB77" s="34">
        <v>5.7134996331621335E-2</v>
      </c>
      <c r="EC77" s="32"/>
      <c r="ED77" s="32">
        <v>0</v>
      </c>
      <c r="EE77" s="32">
        <v>286</v>
      </c>
      <c r="EF77" s="32">
        <v>0</v>
      </c>
      <c r="EG77" s="32">
        <v>58</v>
      </c>
      <c r="EH77" s="32">
        <v>228</v>
      </c>
      <c r="EI77" s="32">
        <v>286</v>
      </c>
      <c r="EJ77" s="32">
        <v>0</v>
      </c>
      <c r="EK77" s="32">
        <v>53</v>
      </c>
      <c r="EL77" s="32">
        <v>53</v>
      </c>
      <c r="EM77" s="32">
        <v>51</v>
      </c>
      <c r="EN77" s="32">
        <v>2</v>
      </c>
      <c r="EO77" s="32">
        <v>0</v>
      </c>
      <c r="EP77" s="33">
        <v>3.75</v>
      </c>
      <c r="EQ77" s="33">
        <v>0</v>
      </c>
      <c r="ER77" s="33">
        <v>3.5</v>
      </c>
      <c r="ES77" s="33">
        <v>1.1499999999999999</v>
      </c>
      <c r="ET77" s="33">
        <v>3.5</v>
      </c>
      <c r="EU77" s="33">
        <v>11.9</v>
      </c>
    </row>
    <row r="78" spans="1:151" ht="27.6" x14ac:dyDescent="0.3">
      <c r="A78" s="25" t="s">
        <v>159</v>
      </c>
      <c r="B78" s="26" t="s">
        <v>384</v>
      </c>
      <c r="C78" s="27" t="s">
        <v>703</v>
      </c>
      <c r="D78" s="27" t="s">
        <v>272</v>
      </c>
      <c r="E78" s="26" t="s">
        <v>504</v>
      </c>
      <c r="F78" s="26" t="s">
        <v>504</v>
      </c>
      <c r="G78" s="28">
        <v>101.86111111111111</v>
      </c>
      <c r="H78" s="28">
        <v>1.461111111111111</v>
      </c>
      <c r="I78" s="29">
        <v>88</v>
      </c>
      <c r="J78" s="29">
        <v>701</v>
      </c>
      <c r="K78" s="29">
        <v>244</v>
      </c>
      <c r="L78" s="29">
        <v>80</v>
      </c>
      <c r="M78" s="29">
        <v>1113</v>
      </c>
      <c r="N78" s="29">
        <v>1025</v>
      </c>
      <c r="O78" s="29">
        <v>1033</v>
      </c>
      <c r="P78" s="29">
        <v>6</v>
      </c>
      <c r="Q78" s="27">
        <v>86.455555555555549</v>
      </c>
      <c r="R78" s="27">
        <v>99.422222222222217</v>
      </c>
      <c r="S78" s="27">
        <v>105.85</v>
      </c>
      <c r="T78" s="27">
        <v>108.07222222222222</v>
      </c>
      <c r="U78" s="27">
        <v>114.06666666666666</v>
      </c>
      <c r="V78" s="27">
        <v>120.55</v>
      </c>
      <c r="W78" s="27">
        <v>143.30000000000001</v>
      </c>
      <c r="X78" s="27">
        <v>125.23888888888889</v>
      </c>
      <c r="Y78" s="27">
        <v>114.32777777777778</v>
      </c>
      <c r="Z78" s="27">
        <v>79.972222222222229</v>
      </c>
      <c r="AA78" s="27">
        <v>0</v>
      </c>
      <c r="AB78" s="27">
        <v>0</v>
      </c>
      <c r="AC78" s="27">
        <v>0</v>
      </c>
      <c r="AD78" s="27">
        <v>691.26111111111118</v>
      </c>
      <c r="AE78" s="27">
        <v>239.56666666666666</v>
      </c>
      <c r="AF78" s="27">
        <v>79.972222222222229</v>
      </c>
      <c r="AG78" s="27">
        <v>1017.2833333333332</v>
      </c>
      <c r="AH78" s="27">
        <v>1010.8000000000002</v>
      </c>
      <c r="AI78" s="27">
        <v>1097.2555555555555</v>
      </c>
      <c r="AJ78" s="28">
        <v>119.08333333333333</v>
      </c>
      <c r="AK78" s="28">
        <v>5.5111111111111111</v>
      </c>
      <c r="AL78" s="28">
        <v>124.59444444444443</v>
      </c>
      <c r="AM78" s="29">
        <v>93</v>
      </c>
      <c r="AN78" s="35">
        <v>105</v>
      </c>
      <c r="AO78" s="27">
        <v>105</v>
      </c>
      <c r="AP78" s="27">
        <v>113</v>
      </c>
      <c r="AQ78" s="27">
        <v>117</v>
      </c>
      <c r="AR78" s="27">
        <v>116</v>
      </c>
      <c r="AS78" s="27">
        <v>142</v>
      </c>
      <c r="AT78" s="27">
        <v>135</v>
      </c>
      <c r="AU78" s="27">
        <v>121</v>
      </c>
      <c r="AV78" s="27">
        <v>70</v>
      </c>
      <c r="AW78" s="27">
        <v>0</v>
      </c>
      <c r="AX78" s="27">
        <v>0</v>
      </c>
      <c r="AY78" s="27">
        <v>0</v>
      </c>
      <c r="AZ78" s="27">
        <v>698</v>
      </c>
      <c r="BA78" s="27">
        <v>256</v>
      </c>
      <c r="BB78" s="27">
        <v>70</v>
      </c>
      <c r="BC78" s="27">
        <v>1047</v>
      </c>
      <c r="BD78" s="27">
        <v>1024</v>
      </c>
      <c r="BE78" s="27">
        <v>1117</v>
      </c>
      <c r="BF78" s="27">
        <v>92</v>
      </c>
      <c r="BG78" s="27">
        <v>1</v>
      </c>
      <c r="BH78" s="27">
        <v>0</v>
      </c>
      <c r="BI78" s="27">
        <v>408</v>
      </c>
      <c r="BJ78" s="27">
        <v>131</v>
      </c>
      <c r="BK78" s="29">
        <v>6</v>
      </c>
      <c r="BL78" s="29">
        <v>137</v>
      </c>
      <c r="BM78" s="29">
        <v>54</v>
      </c>
      <c r="BN78" s="30">
        <v>6.8509615384615474E-2</v>
      </c>
      <c r="BO78" s="31">
        <v>60.05</v>
      </c>
      <c r="BP78" s="31">
        <v>60.05</v>
      </c>
      <c r="BQ78" s="31">
        <v>59.05</v>
      </c>
      <c r="BR78" s="31">
        <v>60.05</v>
      </c>
      <c r="BS78" s="32">
        <v>0</v>
      </c>
      <c r="BT78" s="32">
        <v>0</v>
      </c>
      <c r="BU78" s="33">
        <v>0</v>
      </c>
      <c r="BV78" s="33">
        <v>0</v>
      </c>
      <c r="BW78" s="33">
        <v>92.011111</v>
      </c>
      <c r="BX78" s="33">
        <v>92.011111111111106</v>
      </c>
      <c r="BY78" s="33">
        <v>103.05</v>
      </c>
      <c r="BZ78" s="33">
        <v>102.78888888888889</v>
      </c>
      <c r="CA78" s="33">
        <v>112.41111111111111</v>
      </c>
      <c r="CB78" s="33">
        <v>111.31666666666666</v>
      </c>
      <c r="CC78" s="33">
        <v>113.98888888888889</v>
      </c>
      <c r="CD78" s="33">
        <v>138.67222222222222</v>
      </c>
      <c r="CE78" s="33">
        <v>133.40555555555557</v>
      </c>
      <c r="CF78" s="33">
        <v>115.43888888888888</v>
      </c>
      <c r="CG78" s="33">
        <v>70.12777777777778</v>
      </c>
      <c r="CH78" s="33">
        <v>0</v>
      </c>
      <c r="CI78" s="33">
        <v>0</v>
      </c>
      <c r="CJ78" s="33">
        <v>0</v>
      </c>
      <c r="CK78" s="33">
        <v>682.22777777777776</v>
      </c>
      <c r="CL78" s="33">
        <v>248.84444444444443</v>
      </c>
      <c r="CM78" s="33">
        <v>70.12777777777778</v>
      </c>
      <c r="CN78" s="33">
        <v>1023.0833333333334</v>
      </c>
      <c r="CO78" s="33">
        <v>1001.1999999999999</v>
      </c>
      <c r="CP78" s="33">
        <v>1093.2111111111112</v>
      </c>
      <c r="CQ78" s="33">
        <v>131.85555555555601</v>
      </c>
      <c r="CR78" s="33">
        <v>4</v>
      </c>
      <c r="CS78" s="33">
        <v>135.85555555555601</v>
      </c>
      <c r="CT78" s="33">
        <v>0</v>
      </c>
      <c r="CU78" s="33">
        <v>89</v>
      </c>
      <c r="CV78" s="32">
        <v>3</v>
      </c>
      <c r="CW78" s="32">
        <v>92</v>
      </c>
      <c r="CX78" s="32">
        <v>106</v>
      </c>
      <c r="CY78" s="32">
        <v>105</v>
      </c>
      <c r="CZ78" s="32">
        <v>107</v>
      </c>
      <c r="DA78" s="32">
        <v>121</v>
      </c>
      <c r="DB78" s="32">
        <v>113</v>
      </c>
      <c r="DC78" s="32">
        <v>140</v>
      </c>
      <c r="DD78" s="32">
        <v>139</v>
      </c>
      <c r="DE78" s="32">
        <v>116</v>
      </c>
      <c r="DF78" s="32">
        <v>76</v>
      </c>
      <c r="DG78" s="32">
        <v>0</v>
      </c>
      <c r="DH78" s="32">
        <v>0</v>
      </c>
      <c r="DI78" s="32">
        <v>0</v>
      </c>
      <c r="DJ78" s="32">
        <v>692</v>
      </c>
      <c r="DK78" s="32">
        <v>255</v>
      </c>
      <c r="DL78" s="32">
        <v>76</v>
      </c>
      <c r="DM78" s="32">
        <v>1039</v>
      </c>
      <c r="DN78" s="32">
        <v>1023</v>
      </c>
      <c r="DO78" s="32">
        <v>1115</v>
      </c>
      <c r="DP78" s="32">
        <v>0</v>
      </c>
      <c r="DQ78" s="32">
        <v>405</v>
      </c>
      <c r="DR78" s="32">
        <v>135</v>
      </c>
      <c r="DS78" s="32">
        <v>5</v>
      </c>
      <c r="DT78" s="32">
        <v>140</v>
      </c>
      <c r="DU78" s="32">
        <v>50</v>
      </c>
      <c r="DV78" s="33">
        <v>60.571999999999996</v>
      </c>
      <c r="DW78" s="33">
        <v>57.571999999999996</v>
      </c>
      <c r="DX78" s="33">
        <v>30.347000000000001</v>
      </c>
      <c r="DY78" s="33">
        <v>22.225000000000001</v>
      </c>
      <c r="DZ78" s="33">
        <v>0</v>
      </c>
      <c r="EA78" s="33">
        <v>61.921999999999997</v>
      </c>
      <c r="EB78" s="34">
        <v>6.0831377691883015E-2</v>
      </c>
      <c r="EC78" s="32"/>
      <c r="ED78" s="32">
        <v>98</v>
      </c>
      <c r="EE78" s="32">
        <v>1015</v>
      </c>
      <c r="EF78" s="32">
        <v>673</v>
      </c>
      <c r="EG78" s="32">
        <v>266</v>
      </c>
      <c r="EH78" s="32">
        <v>76</v>
      </c>
      <c r="EI78" s="32">
        <v>1113</v>
      </c>
      <c r="EJ78" s="32">
        <v>0</v>
      </c>
      <c r="EK78" s="32">
        <v>143</v>
      </c>
      <c r="EL78" s="32">
        <v>143</v>
      </c>
      <c r="EM78" s="32">
        <v>139</v>
      </c>
      <c r="EN78" s="32">
        <v>4</v>
      </c>
      <c r="EO78" s="32">
        <v>3</v>
      </c>
      <c r="EP78" s="33">
        <v>18.850000000000001</v>
      </c>
      <c r="EQ78" s="33">
        <v>0</v>
      </c>
      <c r="ER78" s="33">
        <v>4.45</v>
      </c>
      <c r="ES78" s="33">
        <v>1.25</v>
      </c>
      <c r="ET78" s="33">
        <v>11.8</v>
      </c>
      <c r="EU78" s="33">
        <v>36.35</v>
      </c>
    </row>
    <row r="79" spans="1:151" ht="41.4" x14ac:dyDescent="0.3">
      <c r="A79" s="25" t="s">
        <v>172</v>
      </c>
      <c r="B79" s="26" t="s">
        <v>397</v>
      </c>
      <c r="C79" s="27" t="s">
        <v>173</v>
      </c>
      <c r="D79" s="27" t="s">
        <v>272</v>
      </c>
      <c r="E79" s="26" t="s">
        <v>504</v>
      </c>
      <c r="F79" s="26" t="s">
        <v>504</v>
      </c>
      <c r="G79" s="28">
        <v>71.216666666666669</v>
      </c>
      <c r="H79" s="28">
        <v>44.244444444444447</v>
      </c>
      <c r="I79" s="29">
        <v>50</v>
      </c>
      <c r="J79" s="29">
        <v>311</v>
      </c>
      <c r="K79" s="29">
        <v>230</v>
      </c>
      <c r="L79" s="29">
        <v>444</v>
      </c>
      <c r="M79" s="29">
        <v>1035</v>
      </c>
      <c r="N79" s="29">
        <v>985</v>
      </c>
      <c r="O79" s="29">
        <v>591</v>
      </c>
      <c r="P79" s="29">
        <v>67</v>
      </c>
      <c r="Q79" s="27">
        <v>45.666666666666664</v>
      </c>
      <c r="R79" s="27">
        <v>39.283333333333331</v>
      </c>
      <c r="S79" s="27">
        <v>37.644444444444446</v>
      </c>
      <c r="T79" s="27">
        <v>38.355555555555554</v>
      </c>
      <c r="U79" s="27">
        <v>42.716666666666669</v>
      </c>
      <c r="V79" s="27">
        <v>42.266666666666666</v>
      </c>
      <c r="W79" s="27">
        <v>78.277777777777771</v>
      </c>
      <c r="X79" s="27">
        <v>89.805555555555557</v>
      </c>
      <c r="Y79" s="27">
        <v>118.31111111111112</v>
      </c>
      <c r="Z79" s="27">
        <v>135.87777777777777</v>
      </c>
      <c r="AA79" s="27">
        <v>108.68333333333334</v>
      </c>
      <c r="AB79" s="27">
        <v>103.72777777777777</v>
      </c>
      <c r="AC79" s="27">
        <v>80.11666666666666</v>
      </c>
      <c r="AD79" s="27">
        <v>278.54444444444442</v>
      </c>
      <c r="AE79" s="27">
        <v>208.11666666666667</v>
      </c>
      <c r="AF79" s="27">
        <v>428.40555555555557</v>
      </c>
      <c r="AG79" s="27">
        <v>532.32777777777778</v>
      </c>
      <c r="AH79" s="27">
        <v>915.06666666666661</v>
      </c>
      <c r="AI79" s="27">
        <v>960.73333333333335</v>
      </c>
      <c r="AJ79" s="28">
        <v>39.772222222222226</v>
      </c>
      <c r="AK79" s="28">
        <v>62.861111111111114</v>
      </c>
      <c r="AL79" s="28">
        <v>102.63333333333334</v>
      </c>
      <c r="AM79" s="29">
        <v>39</v>
      </c>
      <c r="AN79" s="35">
        <v>45</v>
      </c>
      <c r="AO79" s="27">
        <v>39</v>
      </c>
      <c r="AP79" s="27">
        <v>45</v>
      </c>
      <c r="AQ79" s="27">
        <v>56</v>
      </c>
      <c r="AR79" s="27">
        <v>51</v>
      </c>
      <c r="AS79" s="27">
        <v>65</v>
      </c>
      <c r="AT79" s="27">
        <v>87</v>
      </c>
      <c r="AU79" s="27">
        <v>100</v>
      </c>
      <c r="AV79" s="27">
        <v>122</v>
      </c>
      <c r="AW79" s="27">
        <v>95</v>
      </c>
      <c r="AX79" s="27">
        <v>115</v>
      </c>
      <c r="AY79" s="27">
        <v>103</v>
      </c>
      <c r="AZ79" s="27">
        <v>301</v>
      </c>
      <c r="BA79" s="27">
        <v>187</v>
      </c>
      <c r="BB79" s="27">
        <v>435</v>
      </c>
      <c r="BC79" s="27">
        <v>527</v>
      </c>
      <c r="BD79" s="27">
        <v>923</v>
      </c>
      <c r="BE79" s="27">
        <v>962</v>
      </c>
      <c r="BF79" s="27">
        <v>39</v>
      </c>
      <c r="BG79" s="27">
        <v>0</v>
      </c>
      <c r="BH79" s="27">
        <v>0</v>
      </c>
      <c r="BI79" s="27">
        <v>312</v>
      </c>
      <c r="BJ79" s="27">
        <v>50</v>
      </c>
      <c r="BK79" s="29">
        <v>57</v>
      </c>
      <c r="BL79" s="29">
        <v>107</v>
      </c>
      <c r="BM79" s="29">
        <v>28</v>
      </c>
      <c r="BN79" s="30">
        <v>8.1430518122209306E-2</v>
      </c>
      <c r="BO79" s="31">
        <v>51.285999999999987</v>
      </c>
      <c r="BP79" s="31">
        <v>48.285999999999987</v>
      </c>
      <c r="BQ79" s="31">
        <v>48.285999999999987</v>
      </c>
      <c r="BR79" s="31">
        <v>52.228999999999985</v>
      </c>
      <c r="BS79" s="32">
        <v>767</v>
      </c>
      <c r="BT79" s="32">
        <v>476</v>
      </c>
      <c r="BU79" s="33">
        <v>674.77777700000001</v>
      </c>
      <c r="BV79" s="33">
        <v>0</v>
      </c>
      <c r="BW79" s="33">
        <v>38.994444000000001</v>
      </c>
      <c r="BX79" s="33">
        <v>38.994444444444447</v>
      </c>
      <c r="BY79" s="33">
        <v>40.227777777777774</v>
      </c>
      <c r="BZ79" s="33">
        <v>35.133333333333333</v>
      </c>
      <c r="CA79" s="33">
        <v>47.588888888888889</v>
      </c>
      <c r="CB79" s="33">
        <v>52.244444444444447</v>
      </c>
      <c r="CC79" s="33">
        <v>50.955555555555556</v>
      </c>
      <c r="CD79" s="33">
        <v>64.088888888888889</v>
      </c>
      <c r="CE79" s="33">
        <v>94.722222222222229</v>
      </c>
      <c r="CF79" s="33">
        <v>100.42222222222222</v>
      </c>
      <c r="CG79" s="33">
        <v>112.91111111111111</v>
      </c>
      <c r="CH79" s="33">
        <v>94.305555555555557</v>
      </c>
      <c r="CI79" s="33">
        <v>113.28888888888889</v>
      </c>
      <c r="CJ79" s="33">
        <v>100.85</v>
      </c>
      <c r="CK79" s="33">
        <v>290.23888888888888</v>
      </c>
      <c r="CL79" s="33">
        <v>195.14444444444445</v>
      </c>
      <c r="CM79" s="33">
        <v>421.35555555555561</v>
      </c>
      <c r="CN79" s="33">
        <v>524.37777777777774</v>
      </c>
      <c r="CO79" s="33">
        <v>906.73888888888894</v>
      </c>
      <c r="CP79" s="33">
        <v>945.73333333333335</v>
      </c>
      <c r="CQ79" s="33">
        <v>108.933333333333</v>
      </c>
      <c r="CR79" s="33">
        <v>0</v>
      </c>
      <c r="CS79" s="33">
        <v>108.933333333333</v>
      </c>
      <c r="CT79" s="33">
        <v>693.97222199999999</v>
      </c>
      <c r="CU79" s="33">
        <v>45</v>
      </c>
      <c r="CV79" s="32">
        <v>0</v>
      </c>
      <c r="CW79" s="32">
        <v>45</v>
      </c>
      <c r="CX79" s="32">
        <v>39</v>
      </c>
      <c r="CY79" s="32">
        <v>47</v>
      </c>
      <c r="CZ79" s="32">
        <v>32</v>
      </c>
      <c r="DA79" s="32">
        <v>55</v>
      </c>
      <c r="DB79" s="32">
        <v>60</v>
      </c>
      <c r="DC79" s="32">
        <v>68</v>
      </c>
      <c r="DD79" s="32">
        <v>75</v>
      </c>
      <c r="DE79" s="32">
        <v>140</v>
      </c>
      <c r="DF79" s="32">
        <v>171</v>
      </c>
      <c r="DG79" s="32">
        <v>117</v>
      </c>
      <c r="DH79" s="32">
        <v>115</v>
      </c>
      <c r="DI79" s="32">
        <v>106</v>
      </c>
      <c r="DJ79" s="32">
        <v>301</v>
      </c>
      <c r="DK79" s="32">
        <v>215</v>
      </c>
      <c r="DL79" s="32">
        <v>509</v>
      </c>
      <c r="DM79" s="32">
        <v>561</v>
      </c>
      <c r="DN79" s="32">
        <v>1025</v>
      </c>
      <c r="DO79" s="32">
        <v>1070</v>
      </c>
      <c r="DP79" s="32">
        <v>0</v>
      </c>
      <c r="DQ79" s="32">
        <v>336</v>
      </c>
      <c r="DR79" s="32">
        <v>138</v>
      </c>
      <c r="DS79" s="32">
        <v>0</v>
      </c>
      <c r="DT79" s="32">
        <v>138</v>
      </c>
      <c r="DU79" s="32">
        <v>41</v>
      </c>
      <c r="DV79" s="33">
        <v>61.652999999999992</v>
      </c>
      <c r="DW79" s="33">
        <v>58.652999999999992</v>
      </c>
      <c r="DX79" s="33">
        <v>17.937999999999999</v>
      </c>
      <c r="DY79" s="33">
        <v>24.654999999999998</v>
      </c>
      <c r="DZ79" s="33">
        <v>0</v>
      </c>
      <c r="EA79" s="33">
        <v>62.753</v>
      </c>
      <c r="EB79" s="34">
        <v>9.4855696807142675E-2</v>
      </c>
      <c r="EC79" s="32"/>
      <c r="ED79" s="32">
        <v>43</v>
      </c>
      <c r="EE79" s="32">
        <v>1021</v>
      </c>
      <c r="EF79" s="32">
        <v>379</v>
      </c>
      <c r="EG79" s="32">
        <v>145</v>
      </c>
      <c r="EH79" s="32">
        <v>497</v>
      </c>
      <c r="EI79" s="32">
        <v>1064</v>
      </c>
      <c r="EJ79" s="32">
        <v>0</v>
      </c>
      <c r="EK79" s="32">
        <v>156</v>
      </c>
      <c r="EL79" s="32">
        <v>156</v>
      </c>
      <c r="EM79" s="32">
        <v>156</v>
      </c>
      <c r="EN79" s="32">
        <v>0</v>
      </c>
      <c r="EO79" s="32">
        <v>6</v>
      </c>
      <c r="EP79" s="33">
        <v>0</v>
      </c>
      <c r="EQ79" s="33">
        <v>0</v>
      </c>
      <c r="ER79" s="33">
        <v>5</v>
      </c>
      <c r="ES79" s="33">
        <v>0</v>
      </c>
      <c r="ET79" s="33">
        <v>0</v>
      </c>
      <c r="EU79" s="33">
        <v>5</v>
      </c>
    </row>
    <row r="80" spans="1:151" ht="55.2" x14ac:dyDescent="0.3">
      <c r="A80" s="25" t="s">
        <v>186</v>
      </c>
      <c r="B80" s="26" t="s">
        <v>408</v>
      </c>
      <c r="C80" s="27" t="s">
        <v>704</v>
      </c>
      <c r="D80" s="27" t="s">
        <v>272</v>
      </c>
      <c r="E80" s="26" t="s">
        <v>504</v>
      </c>
      <c r="F80" s="26" t="s">
        <v>504</v>
      </c>
      <c r="G80" s="28">
        <v>46.511111111111113</v>
      </c>
      <c r="H80" s="28">
        <v>0.6333333333333333</v>
      </c>
      <c r="I80" s="29">
        <v>88</v>
      </c>
      <c r="J80" s="29">
        <v>441</v>
      </c>
      <c r="K80" s="29">
        <v>0</v>
      </c>
      <c r="L80" s="29">
        <v>0</v>
      </c>
      <c r="M80" s="29">
        <v>529</v>
      </c>
      <c r="N80" s="29">
        <v>441</v>
      </c>
      <c r="O80" s="29">
        <v>529</v>
      </c>
      <c r="P80" s="29">
        <v>1</v>
      </c>
      <c r="Q80" s="27">
        <v>87.194444444444443</v>
      </c>
      <c r="R80" s="27">
        <v>82.7</v>
      </c>
      <c r="S80" s="27">
        <v>81.355555555555554</v>
      </c>
      <c r="T80" s="27">
        <v>76.805555555555557</v>
      </c>
      <c r="U80" s="27">
        <v>80.222222222222229</v>
      </c>
      <c r="V80" s="27">
        <v>65.577777777777783</v>
      </c>
      <c r="W80" s="27">
        <v>56.955555555555556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27">
        <v>443.61666666666667</v>
      </c>
      <c r="AE80" s="27">
        <v>0</v>
      </c>
      <c r="AF80" s="27">
        <v>0</v>
      </c>
      <c r="AG80" s="27">
        <v>530.81111111111113</v>
      </c>
      <c r="AH80" s="27">
        <v>443.61666666666667</v>
      </c>
      <c r="AI80" s="27">
        <v>530.81111111111113</v>
      </c>
      <c r="AJ80" s="28">
        <v>49.983333333333334</v>
      </c>
      <c r="AK80" s="28">
        <v>1</v>
      </c>
      <c r="AL80" s="28">
        <v>50.983333333333334</v>
      </c>
      <c r="AM80" s="29">
        <v>80</v>
      </c>
      <c r="AN80" s="35">
        <v>83</v>
      </c>
      <c r="AO80" s="27">
        <v>81</v>
      </c>
      <c r="AP80" s="27">
        <v>81</v>
      </c>
      <c r="AQ80" s="27">
        <v>78</v>
      </c>
      <c r="AR80" s="27">
        <v>76</v>
      </c>
      <c r="AS80" s="27">
        <v>60</v>
      </c>
      <c r="AT80" s="27">
        <v>0</v>
      </c>
      <c r="AU80" s="27">
        <v>0</v>
      </c>
      <c r="AV80" s="27">
        <v>0</v>
      </c>
      <c r="AW80" s="27">
        <v>0</v>
      </c>
      <c r="AX80" s="27">
        <v>0</v>
      </c>
      <c r="AY80" s="27">
        <v>0</v>
      </c>
      <c r="AZ80" s="27">
        <v>459</v>
      </c>
      <c r="BA80" s="27">
        <v>0</v>
      </c>
      <c r="BB80" s="27">
        <v>0</v>
      </c>
      <c r="BC80" s="27">
        <v>539</v>
      </c>
      <c r="BD80" s="27">
        <v>459</v>
      </c>
      <c r="BE80" s="27">
        <v>539</v>
      </c>
      <c r="BF80" s="27">
        <v>80</v>
      </c>
      <c r="BG80" s="27">
        <v>0</v>
      </c>
      <c r="BH80" s="27">
        <v>0</v>
      </c>
      <c r="BI80" s="27">
        <v>212</v>
      </c>
      <c r="BJ80" s="27">
        <v>61</v>
      </c>
      <c r="BK80" s="29">
        <v>0</v>
      </c>
      <c r="BL80" s="29">
        <v>61</v>
      </c>
      <c r="BM80" s="29">
        <v>259</v>
      </c>
      <c r="BN80" s="30">
        <v>6.5104166666666685E-2</v>
      </c>
      <c r="BO80" s="31">
        <v>27</v>
      </c>
      <c r="BP80" s="31">
        <v>24</v>
      </c>
      <c r="BQ80" s="31">
        <v>24</v>
      </c>
      <c r="BR80" s="31">
        <v>28</v>
      </c>
      <c r="BS80" s="32">
        <v>0</v>
      </c>
      <c r="BT80" s="32">
        <v>0</v>
      </c>
      <c r="BU80" s="33">
        <v>0</v>
      </c>
      <c r="BV80" s="33">
        <v>0</v>
      </c>
      <c r="BW80" s="33">
        <v>80.005555000000001</v>
      </c>
      <c r="BX80" s="33">
        <v>80.00555555555556</v>
      </c>
      <c r="BY80" s="33">
        <v>81.966666666666669</v>
      </c>
      <c r="BZ80" s="33">
        <v>82.138888888888886</v>
      </c>
      <c r="CA80" s="33">
        <v>81.611111111111114</v>
      </c>
      <c r="CB80" s="33">
        <v>79.166666666666671</v>
      </c>
      <c r="CC80" s="33">
        <v>72.955555555555549</v>
      </c>
      <c r="CD80" s="33">
        <v>58.2</v>
      </c>
      <c r="CE80" s="33">
        <v>0</v>
      </c>
      <c r="CF80" s="33">
        <v>0</v>
      </c>
      <c r="CG80" s="33">
        <v>0</v>
      </c>
      <c r="CH80" s="33">
        <v>0</v>
      </c>
      <c r="CI80" s="33">
        <v>0</v>
      </c>
      <c r="CJ80" s="33">
        <v>0</v>
      </c>
      <c r="CK80" s="33">
        <v>456.03888888888883</v>
      </c>
      <c r="CL80" s="33">
        <v>0</v>
      </c>
      <c r="CM80" s="33">
        <v>0</v>
      </c>
      <c r="CN80" s="33">
        <v>536.04444444444448</v>
      </c>
      <c r="CO80" s="33">
        <v>456.03888888888883</v>
      </c>
      <c r="CP80" s="33">
        <v>536.04444444444448</v>
      </c>
      <c r="CQ80" s="33">
        <v>63.477777777777803</v>
      </c>
      <c r="CR80" s="33">
        <v>0</v>
      </c>
      <c r="CS80" s="33">
        <v>63.477777777777803</v>
      </c>
      <c r="CT80" s="33">
        <v>0</v>
      </c>
      <c r="CU80" s="33">
        <v>90</v>
      </c>
      <c r="CV80" s="32">
        <v>0</v>
      </c>
      <c r="CW80" s="32">
        <v>90</v>
      </c>
      <c r="CX80" s="32">
        <v>85</v>
      </c>
      <c r="CY80" s="32">
        <v>79</v>
      </c>
      <c r="CZ80" s="32">
        <v>81</v>
      </c>
      <c r="DA80" s="32">
        <v>80</v>
      </c>
      <c r="DB80" s="32">
        <v>72</v>
      </c>
      <c r="DC80" s="32">
        <v>58</v>
      </c>
      <c r="DD80" s="32">
        <v>31</v>
      </c>
      <c r="DE80" s="32">
        <v>0</v>
      </c>
      <c r="DF80" s="32">
        <v>0</v>
      </c>
      <c r="DG80" s="32">
        <v>0</v>
      </c>
      <c r="DH80" s="32">
        <v>0</v>
      </c>
      <c r="DI80" s="32">
        <v>0</v>
      </c>
      <c r="DJ80" s="32">
        <v>455</v>
      </c>
      <c r="DK80" s="32">
        <v>31</v>
      </c>
      <c r="DL80" s="32">
        <v>0</v>
      </c>
      <c r="DM80" s="32">
        <v>576</v>
      </c>
      <c r="DN80" s="32">
        <v>486</v>
      </c>
      <c r="DO80" s="32">
        <v>576</v>
      </c>
      <c r="DP80" s="32">
        <v>0</v>
      </c>
      <c r="DQ80" s="32">
        <v>313</v>
      </c>
      <c r="DR80" s="32">
        <v>68</v>
      </c>
      <c r="DS80" s="32">
        <v>1</v>
      </c>
      <c r="DT80" s="32">
        <v>69</v>
      </c>
      <c r="DU80" s="32">
        <v>281</v>
      </c>
      <c r="DV80" s="33">
        <v>29.5</v>
      </c>
      <c r="DW80" s="33">
        <v>26.5</v>
      </c>
      <c r="DX80" s="33">
        <v>23</v>
      </c>
      <c r="DY80" s="33">
        <v>3.5</v>
      </c>
      <c r="DZ80" s="33">
        <v>0</v>
      </c>
      <c r="EA80" s="33">
        <v>31</v>
      </c>
      <c r="EB80" s="34">
        <v>6.6826923076923117E-2</v>
      </c>
      <c r="EC80" s="32"/>
      <c r="ED80" s="32">
        <v>86</v>
      </c>
      <c r="EE80" s="32">
        <v>486</v>
      </c>
      <c r="EF80" s="32">
        <v>437</v>
      </c>
      <c r="EG80" s="32">
        <v>49</v>
      </c>
      <c r="EH80" s="32">
        <v>0</v>
      </c>
      <c r="EI80" s="32">
        <v>572</v>
      </c>
      <c r="EJ80" s="32">
        <v>0</v>
      </c>
      <c r="EK80" s="32">
        <v>71</v>
      </c>
      <c r="EL80" s="32">
        <v>71</v>
      </c>
      <c r="EM80" s="32">
        <v>70</v>
      </c>
      <c r="EN80" s="32">
        <v>1</v>
      </c>
      <c r="EO80" s="32">
        <v>11</v>
      </c>
      <c r="EP80" s="33">
        <v>35</v>
      </c>
      <c r="EQ80" s="33">
        <v>1</v>
      </c>
      <c r="ER80" s="33">
        <v>3.5</v>
      </c>
      <c r="ES80" s="33">
        <v>0.85</v>
      </c>
      <c r="ET80" s="33">
        <v>4.7</v>
      </c>
      <c r="EU80" s="33">
        <v>45.050000000000004</v>
      </c>
    </row>
    <row r="81" spans="1:151" ht="41.4" x14ac:dyDescent="0.3">
      <c r="A81" s="25" t="s">
        <v>199</v>
      </c>
      <c r="B81" s="26" t="s">
        <v>420</v>
      </c>
      <c r="C81" s="27" t="s">
        <v>200</v>
      </c>
      <c r="D81" s="27" t="s">
        <v>272</v>
      </c>
      <c r="E81" s="26" t="s">
        <v>504</v>
      </c>
      <c r="F81" s="26" t="s">
        <v>504</v>
      </c>
      <c r="G81" s="28">
        <v>260.12222222222221</v>
      </c>
      <c r="H81" s="28">
        <v>21.666666666666668</v>
      </c>
      <c r="I81" s="29">
        <v>315</v>
      </c>
      <c r="J81" s="29">
        <v>1864</v>
      </c>
      <c r="K81" s="29">
        <v>319</v>
      </c>
      <c r="L81" s="29">
        <v>141</v>
      </c>
      <c r="M81" s="29">
        <v>2639</v>
      </c>
      <c r="N81" s="29">
        <v>2324</v>
      </c>
      <c r="O81" s="29">
        <v>2498</v>
      </c>
      <c r="P81" s="29">
        <v>31</v>
      </c>
      <c r="Q81" s="27">
        <v>308.64999999999998</v>
      </c>
      <c r="R81" s="27">
        <v>329.86111111111109</v>
      </c>
      <c r="S81" s="27">
        <v>349.56111111111113</v>
      </c>
      <c r="T81" s="27">
        <v>310.77777777777777</v>
      </c>
      <c r="U81" s="27">
        <v>313.46666666666664</v>
      </c>
      <c r="V81" s="27">
        <v>260.72777777777776</v>
      </c>
      <c r="W81" s="27">
        <v>249.02777777777777</v>
      </c>
      <c r="X81" s="27">
        <v>157.77777777777777</v>
      </c>
      <c r="Y81" s="27">
        <v>148.92222222222222</v>
      </c>
      <c r="Z81" s="27">
        <v>134.64444444444445</v>
      </c>
      <c r="AA81" s="27">
        <v>0</v>
      </c>
      <c r="AB81" s="27">
        <v>0</v>
      </c>
      <c r="AC81" s="27">
        <v>0</v>
      </c>
      <c r="AD81" s="27">
        <v>1813.4222222222224</v>
      </c>
      <c r="AE81" s="27">
        <v>306.7</v>
      </c>
      <c r="AF81" s="27">
        <v>134.64444444444445</v>
      </c>
      <c r="AG81" s="27">
        <v>2428.7722222222219</v>
      </c>
      <c r="AH81" s="27">
        <v>2254.7666666666669</v>
      </c>
      <c r="AI81" s="27">
        <v>2563.4166666666665</v>
      </c>
      <c r="AJ81" s="28">
        <v>343.21666666666664</v>
      </c>
      <c r="AK81" s="28">
        <v>30.005555555555556</v>
      </c>
      <c r="AL81" s="28">
        <v>373.22222222222217</v>
      </c>
      <c r="AM81" s="29">
        <v>373</v>
      </c>
      <c r="AN81" s="35">
        <v>339</v>
      </c>
      <c r="AO81" s="27">
        <v>353</v>
      </c>
      <c r="AP81" s="27">
        <v>345</v>
      </c>
      <c r="AQ81" s="27">
        <v>330</v>
      </c>
      <c r="AR81" s="27">
        <v>317</v>
      </c>
      <c r="AS81" s="27">
        <v>266</v>
      </c>
      <c r="AT81" s="27">
        <v>167</v>
      </c>
      <c r="AU81" s="27">
        <v>149</v>
      </c>
      <c r="AV81" s="27">
        <v>115</v>
      </c>
      <c r="AW81" s="27">
        <v>0</v>
      </c>
      <c r="AX81" s="27">
        <v>0</v>
      </c>
      <c r="AY81" s="27">
        <v>0</v>
      </c>
      <c r="AZ81" s="27">
        <v>1950</v>
      </c>
      <c r="BA81" s="27">
        <v>316</v>
      </c>
      <c r="BB81" s="27">
        <v>115</v>
      </c>
      <c r="BC81" s="27">
        <v>2639</v>
      </c>
      <c r="BD81" s="27">
        <v>2381</v>
      </c>
      <c r="BE81" s="27">
        <v>2754</v>
      </c>
      <c r="BF81" s="27">
        <v>177</v>
      </c>
      <c r="BG81" s="27">
        <v>196</v>
      </c>
      <c r="BH81" s="27">
        <v>0</v>
      </c>
      <c r="BI81" s="27">
        <v>892</v>
      </c>
      <c r="BJ81" s="27">
        <v>336</v>
      </c>
      <c r="BK81" s="29">
        <v>30</v>
      </c>
      <c r="BL81" s="29">
        <v>366</v>
      </c>
      <c r="BM81" s="29">
        <v>334</v>
      </c>
      <c r="BN81" s="30">
        <v>6.6970775885908052E-2</v>
      </c>
      <c r="BO81" s="31">
        <v>171.464</v>
      </c>
      <c r="BP81" s="31">
        <v>161.464</v>
      </c>
      <c r="BQ81" s="31">
        <v>159.464</v>
      </c>
      <c r="BR81" s="31">
        <v>171.464</v>
      </c>
      <c r="BS81" s="32">
        <v>0</v>
      </c>
      <c r="BT81" s="32">
        <v>0</v>
      </c>
      <c r="BU81" s="33">
        <v>0</v>
      </c>
      <c r="BV81" s="33">
        <v>193.433333</v>
      </c>
      <c r="BW81" s="33">
        <v>174.18888799999999</v>
      </c>
      <c r="BX81" s="33">
        <v>367.62222222222221</v>
      </c>
      <c r="BY81" s="33">
        <v>333.15</v>
      </c>
      <c r="BZ81" s="33">
        <v>346.51666666666665</v>
      </c>
      <c r="CA81" s="33">
        <v>344.8388888888889</v>
      </c>
      <c r="CB81" s="33">
        <v>321.67777777777781</v>
      </c>
      <c r="CC81" s="33">
        <v>306.81111111111113</v>
      </c>
      <c r="CD81" s="33">
        <v>262.28333333333336</v>
      </c>
      <c r="CE81" s="33">
        <v>158.53333333333333</v>
      </c>
      <c r="CF81" s="33">
        <v>141.94999999999999</v>
      </c>
      <c r="CG81" s="33">
        <v>108.64444444444445</v>
      </c>
      <c r="CH81" s="33">
        <v>0</v>
      </c>
      <c r="CI81" s="33">
        <v>0</v>
      </c>
      <c r="CJ81" s="33">
        <v>0</v>
      </c>
      <c r="CK81" s="33">
        <v>1915.2777777777778</v>
      </c>
      <c r="CL81" s="33">
        <v>300.48333333333335</v>
      </c>
      <c r="CM81" s="33">
        <v>108.64444444444445</v>
      </c>
      <c r="CN81" s="33">
        <v>2583.3833333333332</v>
      </c>
      <c r="CO81" s="33">
        <v>2324.4055555555556</v>
      </c>
      <c r="CP81" s="33">
        <v>2692.0277777777778</v>
      </c>
      <c r="CQ81" s="33">
        <v>343.86111111111097</v>
      </c>
      <c r="CR81" s="33">
        <v>27.561111111111099</v>
      </c>
      <c r="CS81" s="33">
        <v>371.42222222222205</v>
      </c>
      <c r="CT81" s="33">
        <v>0</v>
      </c>
      <c r="CU81" s="33">
        <v>274</v>
      </c>
      <c r="CV81" s="32">
        <v>94</v>
      </c>
      <c r="CW81" s="32">
        <v>368</v>
      </c>
      <c r="CX81" s="32">
        <v>372</v>
      </c>
      <c r="CY81" s="32">
        <v>356</v>
      </c>
      <c r="CZ81" s="32">
        <v>353</v>
      </c>
      <c r="DA81" s="32">
        <v>351</v>
      </c>
      <c r="DB81" s="32">
        <v>318</v>
      </c>
      <c r="DC81" s="32">
        <v>312</v>
      </c>
      <c r="DD81" s="32">
        <v>164</v>
      </c>
      <c r="DE81" s="32">
        <v>145</v>
      </c>
      <c r="DF81" s="32">
        <v>118</v>
      </c>
      <c r="DG81" s="32">
        <v>0</v>
      </c>
      <c r="DH81" s="32">
        <v>0</v>
      </c>
      <c r="DI81" s="32">
        <v>0</v>
      </c>
      <c r="DJ81" s="32">
        <v>2062</v>
      </c>
      <c r="DK81" s="32">
        <v>309</v>
      </c>
      <c r="DL81" s="32">
        <v>118</v>
      </c>
      <c r="DM81" s="32">
        <v>2739</v>
      </c>
      <c r="DN81" s="32">
        <v>2489</v>
      </c>
      <c r="DO81" s="32">
        <v>2857</v>
      </c>
      <c r="DP81" s="32">
        <v>0</v>
      </c>
      <c r="DQ81" s="32">
        <v>774</v>
      </c>
      <c r="DR81" s="32">
        <v>375</v>
      </c>
      <c r="DS81" s="32">
        <v>37</v>
      </c>
      <c r="DT81" s="32">
        <v>412</v>
      </c>
      <c r="DU81" s="32">
        <v>384</v>
      </c>
      <c r="DV81" s="33">
        <v>178.76</v>
      </c>
      <c r="DW81" s="33">
        <v>168.76</v>
      </c>
      <c r="DX81" s="33">
        <v>121.54400000000001</v>
      </c>
      <c r="DY81" s="33">
        <v>31.752999999999997</v>
      </c>
      <c r="DZ81" s="33">
        <v>0</v>
      </c>
      <c r="EA81" s="33">
        <v>179.75999999999996</v>
      </c>
      <c r="EB81" s="34">
        <v>7.1078796204614769E-2</v>
      </c>
      <c r="EC81" s="32"/>
      <c r="ED81" s="32">
        <v>355</v>
      </c>
      <c r="EE81" s="32">
        <v>2489</v>
      </c>
      <c r="EF81" s="32">
        <v>2066</v>
      </c>
      <c r="EG81" s="32">
        <v>310</v>
      </c>
      <c r="EH81" s="32">
        <v>113</v>
      </c>
      <c r="EI81" s="32">
        <v>2844</v>
      </c>
      <c r="EJ81" s="32">
        <v>0</v>
      </c>
      <c r="EK81" s="32">
        <v>426</v>
      </c>
      <c r="EL81" s="32">
        <v>426</v>
      </c>
      <c r="EM81" s="32">
        <v>389</v>
      </c>
      <c r="EN81" s="32">
        <v>37</v>
      </c>
      <c r="EO81" s="32">
        <v>18</v>
      </c>
      <c r="EP81" s="33">
        <v>72.45</v>
      </c>
      <c r="EQ81" s="33">
        <v>4.5</v>
      </c>
      <c r="ER81" s="33">
        <v>15.675000000000001</v>
      </c>
      <c r="ES81" s="33">
        <v>2.7250000000000001</v>
      </c>
      <c r="ET81" s="33">
        <v>0</v>
      </c>
      <c r="EU81" s="33">
        <v>95.35</v>
      </c>
    </row>
    <row r="82" spans="1:151" ht="27.6" x14ac:dyDescent="0.3">
      <c r="A82" s="25" t="s">
        <v>215</v>
      </c>
      <c r="B82" s="26" t="s">
        <v>432</v>
      </c>
      <c r="C82" s="27" t="s">
        <v>216</v>
      </c>
      <c r="D82" s="27" t="s">
        <v>272</v>
      </c>
      <c r="E82" s="26" t="s">
        <v>504</v>
      </c>
      <c r="F82" s="26" t="s">
        <v>504</v>
      </c>
      <c r="G82" s="28">
        <v>154.75555555555556</v>
      </c>
      <c r="H82" s="28">
        <v>4.9666666666666668</v>
      </c>
      <c r="I82" s="29">
        <v>0</v>
      </c>
      <c r="J82" s="29">
        <v>0</v>
      </c>
      <c r="K82" s="29">
        <v>307</v>
      </c>
      <c r="L82" s="29">
        <v>605</v>
      </c>
      <c r="M82" s="29">
        <v>912</v>
      </c>
      <c r="N82" s="29">
        <v>912</v>
      </c>
      <c r="O82" s="29">
        <v>307</v>
      </c>
      <c r="P82" s="29">
        <v>6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138.13888888888889</v>
      </c>
      <c r="Y82" s="27">
        <v>151.65555555555557</v>
      </c>
      <c r="Z82" s="27">
        <v>170.19444444444446</v>
      </c>
      <c r="AA82" s="27">
        <v>145.63333333333333</v>
      </c>
      <c r="AB82" s="27">
        <v>144.23333333333332</v>
      </c>
      <c r="AC82" s="27">
        <v>117.48333333333333</v>
      </c>
      <c r="AD82" s="27">
        <v>0</v>
      </c>
      <c r="AE82" s="27">
        <v>289.79444444444448</v>
      </c>
      <c r="AF82" s="27">
        <v>577.54444444444448</v>
      </c>
      <c r="AG82" s="27">
        <v>289.79444444444448</v>
      </c>
      <c r="AH82" s="27">
        <v>867.33888888888896</v>
      </c>
      <c r="AI82" s="27">
        <v>867.33888888888896</v>
      </c>
      <c r="AJ82" s="28">
        <v>147.02777777777777</v>
      </c>
      <c r="AK82" s="28">
        <v>5.7333333333333334</v>
      </c>
      <c r="AL82" s="28">
        <v>152.76111111111109</v>
      </c>
      <c r="AM82" s="29">
        <v>0</v>
      </c>
      <c r="AN82" s="35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  <c r="AT82" s="27">
        <v>147</v>
      </c>
      <c r="AU82" s="27">
        <v>153</v>
      </c>
      <c r="AV82" s="27">
        <v>182</v>
      </c>
      <c r="AW82" s="27">
        <v>166</v>
      </c>
      <c r="AX82" s="27">
        <v>132</v>
      </c>
      <c r="AY82" s="27">
        <v>126</v>
      </c>
      <c r="AZ82" s="27">
        <v>0</v>
      </c>
      <c r="BA82" s="27">
        <v>300</v>
      </c>
      <c r="BB82" s="27">
        <v>606</v>
      </c>
      <c r="BC82" s="27">
        <v>300</v>
      </c>
      <c r="BD82" s="27">
        <v>906</v>
      </c>
      <c r="BE82" s="27">
        <v>906</v>
      </c>
      <c r="BF82" s="27">
        <v>0</v>
      </c>
      <c r="BG82" s="27">
        <v>0</v>
      </c>
      <c r="BH82" s="27">
        <v>0</v>
      </c>
      <c r="BI82" s="27">
        <v>298</v>
      </c>
      <c r="BJ82" s="27">
        <v>150</v>
      </c>
      <c r="BK82" s="29">
        <v>6</v>
      </c>
      <c r="BL82" s="29">
        <v>156</v>
      </c>
      <c r="BM82" s="29">
        <v>145</v>
      </c>
      <c r="BN82" s="30">
        <v>7.9091166477916308E-2</v>
      </c>
      <c r="BO82" s="31">
        <v>67.16</v>
      </c>
      <c r="BP82" s="31">
        <v>64.16</v>
      </c>
      <c r="BQ82" s="31">
        <v>63.660000000000004</v>
      </c>
      <c r="BR82" s="31">
        <v>68.16</v>
      </c>
      <c r="BS82" s="32">
        <v>0</v>
      </c>
      <c r="BT82" s="32">
        <v>0</v>
      </c>
      <c r="BU82" s="33">
        <v>0</v>
      </c>
      <c r="BV82" s="33">
        <v>0</v>
      </c>
      <c r="BW82" s="33">
        <v>0</v>
      </c>
      <c r="BX82" s="33">
        <v>0</v>
      </c>
      <c r="BY82" s="33">
        <v>0</v>
      </c>
      <c r="BZ82" s="33">
        <v>0</v>
      </c>
      <c r="CA82" s="33">
        <v>0</v>
      </c>
      <c r="CB82" s="33">
        <v>0</v>
      </c>
      <c r="CC82" s="33">
        <v>0</v>
      </c>
      <c r="CD82" s="33">
        <v>0</v>
      </c>
      <c r="CE82" s="33">
        <v>136.11111111111111</v>
      </c>
      <c r="CF82" s="33">
        <v>144.05555555555554</v>
      </c>
      <c r="CG82" s="33">
        <v>170.63333333333333</v>
      </c>
      <c r="CH82" s="33">
        <v>157.34444444444443</v>
      </c>
      <c r="CI82" s="33">
        <v>121.7</v>
      </c>
      <c r="CJ82" s="33">
        <v>119.22222222222223</v>
      </c>
      <c r="CK82" s="33">
        <v>0</v>
      </c>
      <c r="CL82" s="33">
        <v>280.16666666666663</v>
      </c>
      <c r="CM82" s="33">
        <v>568.9</v>
      </c>
      <c r="CN82" s="33">
        <v>280.16666666666663</v>
      </c>
      <c r="CO82" s="33">
        <v>849.06666666666661</v>
      </c>
      <c r="CP82" s="33">
        <v>849.06666666666661</v>
      </c>
      <c r="CQ82" s="33">
        <v>133.555555555556</v>
      </c>
      <c r="CR82" s="33">
        <v>5.24444444444444</v>
      </c>
      <c r="CS82" s="33">
        <v>138.80000000000044</v>
      </c>
      <c r="CT82" s="33">
        <v>0</v>
      </c>
      <c r="CU82" s="33">
        <v>0</v>
      </c>
      <c r="CV82" s="32">
        <v>0</v>
      </c>
      <c r="CW82" s="32">
        <v>0</v>
      </c>
      <c r="CX82" s="32">
        <v>0</v>
      </c>
      <c r="CY82" s="32">
        <v>0</v>
      </c>
      <c r="CZ82" s="32">
        <v>0</v>
      </c>
      <c r="DA82" s="32">
        <v>0</v>
      </c>
      <c r="DB82" s="32">
        <v>0</v>
      </c>
      <c r="DC82" s="32">
        <v>0</v>
      </c>
      <c r="DD82" s="32">
        <v>161</v>
      </c>
      <c r="DE82" s="32">
        <v>184</v>
      </c>
      <c r="DF82" s="32">
        <v>175</v>
      </c>
      <c r="DG82" s="32">
        <v>171</v>
      </c>
      <c r="DH82" s="32">
        <v>152</v>
      </c>
      <c r="DI82" s="32">
        <v>111</v>
      </c>
      <c r="DJ82" s="32">
        <v>0</v>
      </c>
      <c r="DK82" s="32">
        <v>345</v>
      </c>
      <c r="DL82" s="32">
        <v>609</v>
      </c>
      <c r="DM82" s="32">
        <v>345</v>
      </c>
      <c r="DN82" s="32">
        <v>954</v>
      </c>
      <c r="DO82" s="32">
        <v>954</v>
      </c>
      <c r="DP82" s="32">
        <v>0</v>
      </c>
      <c r="DQ82" s="32">
        <v>264</v>
      </c>
      <c r="DR82" s="32">
        <v>145</v>
      </c>
      <c r="DS82" s="32">
        <v>3</v>
      </c>
      <c r="DT82" s="32">
        <v>148</v>
      </c>
      <c r="DU82" s="32">
        <v>146</v>
      </c>
      <c r="DV82" s="33">
        <v>65.900000000000006</v>
      </c>
      <c r="DW82" s="33">
        <v>60</v>
      </c>
      <c r="DX82" s="33">
        <v>0.6</v>
      </c>
      <c r="DY82" s="33">
        <v>52.2</v>
      </c>
      <c r="DZ82" s="33">
        <v>0</v>
      </c>
      <c r="EA82" s="33">
        <v>66.400000000000006</v>
      </c>
      <c r="EB82" s="34">
        <v>9.0181133874219221E-2</v>
      </c>
      <c r="EC82" s="32"/>
      <c r="ED82" s="32">
        <v>0</v>
      </c>
      <c r="EE82" s="32">
        <v>954</v>
      </c>
      <c r="EF82" s="32">
        <v>0</v>
      </c>
      <c r="EG82" s="32">
        <v>305</v>
      </c>
      <c r="EH82" s="32">
        <v>649</v>
      </c>
      <c r="EI82" s="32">
        <v>954</v>
      </c>
      <c r="EJ82" s="32">
        <v>0</v>
      </c>
      <c r="EK82" s="32">
        <v>143</v>
      </c>
      <c r="EL82" s="32">
        <v>143</v>
      </c>
      <c r="EM82" s="32">
        <v>140</v>
      </c>
      <c r="EN82" s="32">
        <v>3</v>
      </c>
      <c r="EO82" s="32">
        <v>6</v>
      </c>
      <c r="EP82" s="33">
        <v>18</v>
      </c>
      <c r="EQ82" s="33">
        <v>0</v>
      </c>
      <c r="ER82" s="33">
        <v>0</v>
      </c>
      <c r="ES82" s="33">
        <v>2.5379999999999998</v>
      </c>
      <c r="ET82" s="33">
        <v>8.11</v>
      </c>
      <c r="EU82" s="33">
        <v>28.648</v>
      </c>
    </row>
    <row r="83" spans="1:151" ht="55.2" x14ac:dyDescent="0.3">
      <c r="A83" s="25" t="s">
        <v>233</v>
      </c>
      <c r="B83" s="26" t="s">
        <v>442</v>
      </c>
      <c r="C83" s="27" t="s">
        <v>705</v>
      </c>
      <c r="D83" s="27" t="s">
        <v>272</v>
      </c>
      <c r="E83" s="26" t="s">
        <v>504</v>
      </c>
      <c r="F83" s="26" t="s">
        <v>504</v>
      </c>
      <c r="G83" s="28">
        <v>93.188888888888883</v>
      </c>
      <c r="H83" s="28">
        <v>1.0777777777777777</v>
      </c>
      <c r="I83" s="29">
        <v>50</v>
      </c>
      <c r="J83" s="29">
        <v>313</v>
      </c>
      <c r="K83" s="29">
        <v>101</v>
      </c>
      <c r="L83" s="29">
        <v>0</v>
      </c>
      <c r="M83" s="29">
        <v>464</v>
      </c>
      <c r="N83" s="29">
        <v>414</v>
      </c>
      <c r="O83" s="29">
        <v>464</v>
      </c>
      <c r="P83" s="29">
        <v>2</v>
      </c>
      <c r="Q83" s="27">
        <v>46.283333333333331</v>
      </c>
      <c r="R83" s="27">
        <v>47.1</v>
      </c>
      <c r="S83" s="27">
        <v>48.294444444444444</v>
      </c>
      <c r="T83" s="27">
        <v>46.422222222222224</v>
      </c>
      <c r="U83" s="27">
        <v>52.172222222222224</v>
      </c>
      <c r="V83" s="27">
        <v>49.31666666666667</v>
      </c>
      <c r="W83" s="27">
        <v>54.238888888888887</v>
      </c>
      <c r="X83" s="27">
        <v>45.522222222222226</v>
      </c>
      <c r="Y83" s="27">
        <v>54.694444444444443</v>
      </c>
      <c r="Z83" s="27">
        <v>0</v>
      </c>
      <c r="AA83" s="27">
        <v>0</v>
      </c>
      <c r="AB83" s="27">
        <v>0</v>
      </c>
      <c r="AC83" s="27">
        <v>0</v>
      </c>
      <c r="AD83" s="27">
        <v>297.54444444444442</v>
      </c>
      <c r="AE83" s="27">
        <v>100.21666666666667</v>
      </c>
      <c r="AF83" s="27">
        <v>0</v>
      </c>
      <c r="AG83" s="27">
        <v>444.04444444444448</v>
      </c>
      <c r="AH83" s="27">
        <v>397.76111111111112</v>
      </c>
      <c r="AI83" s="27">
        <v>444.04444444444448</v>
      </c>
      <c r="AJ83" s="28">
        <v>90.583333333333329</v>
      </c>
      <c r="AK83" s="28">
        <v>0</v>
      </c>
      <c r="AL83" s="28">
        <v>90.583333333333329</v>
      </c>
      <c r="AM83" s="29">
        <v>33</v>
      </c>
      <c r="AN83" s="35">
        <v>38</v>
      </c>
      <c r="AO83" s="27">
        <v>36</v>
      </c>
      <c r="AP83" s="27">
        <v>39</v>
      </c>
      <c r="AQ83" s="27">
        <v>43</v>
      </c>
      <c r="AR83" s="27">
        <v>48</v>
      </c>
      <c r="AS83" s="27">
        <v>53</v>
      </c>
      <c r="AT83" s="27">
        <v>41</v>
      </c>
      <c r="AU83" s="27">
        <v>34</v>
      </c>
      <c r="AV83" s="27">
        <v>0</v>
      </c>
      <c r="AW83" s="27">
        <v>0</v>
      </c>
      <c r="AX83" s="27">
        <v>0</v>
      </c>
      <c r="AY83" s="27">
        <v>0</v>
      </c>
      <c r="AZ83" s="27">
        <v>257</v>
      </c>
      <c r="BA83" s="27">
        <v>75</v>
      </c>
      <c r="BB83" s="27">
        <v>0</v>
      </c>
      <c r="BC83" s="27">
        <v>365</v>
      </c>
      <c r="BD83" s="27">
        <v>332</v>
      </c>
      <c r="BE83" s="27">
        <v>365</v>
      </c>
      <c r="BF83" s="27">
        <v>33</v>
      </c>
      <c r="BG83" s="27">
        <v>0</v>
      </c>
      <c r="BH83" s="27">
        <v>0</v>
      </c>
      <c r="BI83" s="27">
        <v>117</v>
      </c>
      <c r="BJ83" s="27">
        <v>70</v>
      </c>
      <c r="BK83" s="29">
        <v>0</v>
      </c>
      <c r="BL83" s="29">
        <v>70</v>
      </c>
      <c r="BM83" s="29">
        <v>2</v>
      </c>
      <c r="BN83" s="30">
        <v>7.1303546752648495E-2</v>
      </c>
      <c r="BO83" s="31">
        <v>27.31</v>
      </c>
      <c r="BP83" s="31">
        <v>25.21</v>
      </c>
      <c r="BQ83" s="31">
        <v>24.21</v>
      </c>
      <c r="BR83" s="31">
        <v>29.310000000000002</v>
      </c>
      <c r="BS83" s="32">
        <v>0</v>
      </c>
      <c r="BT83" s="32">
        <v>0</v>
      </c>
      <c r="BU83" s="33">
        <v>0</v>
      </c>
      <c r="BV83" s="33">
        <v>0</v>
      </c>
      <c r="BW83" s="33">
        <v>31.605554999999999</v>
      </c>
      <c r="BX83" s="33">
        <v>31.605555555555554</v>
      </c>
      <c r="BY83" s="33">
        <v>34.266666666666666</v>
      </c>
      <c r="BZ83" s="33">
        <v>33.138888888888886</v>
      </c>
      <c r="CA83" s="33">
        <v>34.944444444444443</v>
      </c>
      <c r="CB83" s="33">
        <v>40.522222222222226</v>
      </c>
      <c r="CC83" s="33">
        <v>44.894444444444446</v>
      </c>
      <c r="CD83" s="33">
        <v>47.716666666666669</v>
      </c>
      <c r="CE83" s="33">
        <v>41.044444444444444</v>
      </c>
      <c r="CF83" s="33">
        <v>32.56111111111111</v>
      </c>
      <c r="CG83" s="33">
        <v>0</v>
      </c>
      <c r="CH83" s="33">
        <v>0</v>
      </c>
      <c r="CI83" s="33">
        <v>0</v>
      </c>
      <c r="CJ83" s="33">
        <v>0</v>
      </c>
      <c r="CK83" s="33">
        <v>235.48333333333332</v>
      </c>
      <c r="CL83" s="33">
        <v>73.605555555555554</v>
      </c>
      <c r="CM83" s="33">
        <v>0</v>
      </c>
      <c r="CN83" s="33">
        <v>340.6944444444444</v>
      </c>
      <c r="CO83" s="33">
        <v>309.0888888888889</v>
      </c>
      <c r="CP83" s="33">
        <v>340.6944444444444</v>
      </c>
      <c r="CQ83" s="33">
        <v>55.627777777777801</v>
      </c>
      <c r="CR83" s="33">
        <v>0.63333333333333297</v>
      </c>
      <c r="CS83" s="33">
        <v>56.261111111111134</v>
      </c>
      <c r="CT83" s="33">
        <v>0</v>
      </c>
      <c r="CU83" s="33">
        <v>26</v>
      </c>
      <c r="CV83" s="32">
        <v>0</v>
      </c>
      <c r="CW83" s="32">
        <v>26</v>
      </c>
      <c r="CX83" s="32">
        <v>26</v>
      </c>
      <c r="CY83" s="32">
        <v>28</v>
      </c>
      <c r="CZ83" s="32">
        <v>36</v>
      </c>
      <c r="DA83" s="32">
        <v>36</v>
      </c>
      <c r="DB83" s="32">
        <v>38</v>
      </c>
      <c r="DC83" s="32">
        <v>51</v>
      </c>
      <c r="DD83" s="32">
        <v>38</v>
      </c>
      <c r="DE83" s="32">
        <v>53</v>
      </c>
      <c r="DF83" s="32">
        <v>0</v>
      </c>
      <c r="DG83" s="32">
        <v>0</v>
      </c>
      <c r="DH83" s="32">
        <v>0</v>
      </c>
      <c r="DI83" s="32">
        <v>0</v>
      </c>
      <c r="DJ83" s="32">
        <v>215</v>
      </c>
      <c r="DK83" s="32">
        <v>91</v>
      </c>
      <c r="DL83" s="32">
        <v>0</v>
      </c>
      <c r="DM83" s="32">
        <v>332</v>
      </c>
      <c r="DN83" s="32">
        <v>306</v>
      </c>
      <c r="DO83" s="32">
        <v>332</v>
      </c>
      <c r="DP83" s="32">
        <v>0</v>
      </c>
      <c r="DQ83" s="32">
        <v>110</v>
      </c>
      <c r="DR83" s="32">
        <v>75</v>
      </c>
      <c r="DS83" s="32">
        <v>2</v>
      </c>
      <c r="DT83" s="32">
        <v>77</v>
      </c>
      <c r="DU83" s="32">
        <v>10</v>
      </c>
      <c r="DV83" s="33">
        <v>25.1</v>
      </c>
      <c r="DW83" s="33">
        <v>23</v>
      </c>
      <c r="DX83" s="33">
        <v>15.300000000000002</v>
      </c>
      <c r="DY83" s="33">
        <v>5.7000000000000011</v>
      </c>
      <c r="DZ83" s="33">
        <v>0</v>
      </c>
      <c r="EA83" s="33">
        <v>26.1</v>
      </c>
      <c r="EB83" s="34">
        <v>6.2986192143134945E-2</v>
      </c>
      <c r="EC83" s="32"/>
      <c r="ED83" s="32">
        <v>25</v>
      </c>
      <c r="EE83" s="32">
        <v>307</v>
      </c>
      <c r="EF83" s="32">
        <v>218</v>
      </c>
      <c r="EG83" s="32">
        <v>89</v>
      </c>
      <c r="EH83" s="32">
        <v>0</v>
      </c>
      <c r="EI83" s="32">
        <v>332</v>
      </c>
      <c r="EJ83" s="32">
        <v>0</v>
      </c>
      <c r="EK83" s="32">
        <v>85</v>
      </c>
      <c r="EL83" s="32">
        <v>85</v>
      </c>
      <c r="EM83" s="32">
        <v>83</v>
      </c>
      <c r="EN83" s="32">
        <v>2</v>
      </c>
      <c r="EO83" s="32">
        <v>17</v>
      </c>
      <c r="EP83" s="33">
        <v>5.5</v>
      </c>
      <c r="EQ83" s="33">
        <v>0</v>
      </c>
      <c r="ER83" s="33">
        <v>2</v>
      </c>
      <c r="ES83" s="33">
        <v>2</v>
      </c>
      <c r="ET83" s="33">
        <v>4.5</v>
      </c>
      <c r="EU83" s="33">
        <v>14</v>
      </c>
    </row>
    <row r="84" spans="1:151" ht="55.2" x14ac:dyDescent="0.3">
      <c r="A84" s="25" t="s">
        <v>78</v>
      </c>
      <c r="B84" s="26" t="s">
        <v>316</v>
      </c>
      <c r="C84" s="27" t="s">
        <v>706</v>
      </c>
      <c r="D84" s="27" t="s">
        <v>272</v>
      </c>
      <c r="E84" s="26" t="s">
        <v>504</v>
      </c>
      <c r="F84" s="26" t="s">
        <v>504</v>
      </c>
      <c r="G84" s="28">
        <v>41.333333333333336</v>
      </c>
      <c r="H84" s="28">
        <v>0</v>
      </c>
      <c r="I84" s="29">
        <v>57</v>
      </c>
      <c r="J84" s="29">
        <v>284</v>
      </c>
      <c r="K84" s="29">
        <v>126</v>
      </c>
      <c r="L84" s="29">
        <v>168</v>
      </c>
      <c r="M84" s="29">
        <v>635</v>
      </c>
      <c r="N84" s="29">
        <v>578</v>
      </c>
      <c r="O84" s="29">
        <v>467</v>
      </c>
      <c r="P84" s="29">
        <v>0</v>
      </c>
      <c r="Q84" s="27">
        <v>60.322222222222223</v>
      </c>
      <c r="R84" s="27">
        <v>43.827777777777776</v>
      </c>
      <c r="S84" s="27">
        <v>46.366666666666667</v>
      </c>
      <c r="T84" s="27">
        <v>45.31666666666667</v>
      </c>
      <c r="U84" s="27">
        <v>27.127777777777776</v>
      </c>
      <c r="V84" s="27">
        <v>43.227777777777774</v>
      </c>
      <c r="W84" s="27">
        <v>69.972222222222229</v>
      </c>
      <c r="X84" s="27">
        <v>71.294444444444451</v>
      </c>
      <c r="Y84" s="27">
        <v>52.272222222222226</v>
      </c>
      <c r="Z84" s="27">
        <v>68.361111111111114</v>
      </c>
      <c r="AA84" s="27">
        <v>51.894444444444446</v>
      </c>
      <c r="AB84" s="27">
        <v>25.588888888888889</v>
      </c>
      <c r="AC84" s="27">
        <v>18.56111111111111</v>
      </c>
      <c r="AD84" s="27">
        <v>275.8388888888889</v>
      </c>
      <c r="AE84" s="27">
        <v>123.56666666666668</v>
      </c>
      <c r="AF84" s="27">
        <v>164.40555555555554</v>
      </c>
      <c r="AG84" s="27">
        <v>459.72777777777776</v>
      </c>
      <c r="AH84" s="27">
        <v>563.81111111111102</v>
      </c>
      <c r="AI84" s="27">
        <v>624.13333333333333</v>
      </c>
      <c r="AJ84" s="28">
        <v>51.538888888888891</v>
      </c>
      <c r="AK84" s="28">
        <v>0</v>
      </c>
      <c r="AL84" s="28">
        <v>51.538888888888891</v>
      </c>
      <c r="AM84" s="29">
        <v>61</v>
      </c>
      <c r="AN84" s="35">
        <v>71</v>
      </c>
      <c r="AO84" s="27">
        <v>56</v>
      </c>
      <c r="AP84" s="27">
        <v>68</v>
      </c>
      <c r="AQ84" s="27">
        <v>55</v>
      </c>
      <c r="AR84" s="27">
        <v>49</v>
      </c>
      <c r="AS84" s="27">
        <v>83</v>
      </c>
      <c r="AT84" s="27">
        <v>76</v>
      </c>
      <c r="AU84" s="27">
        <v>72</v>
      </c>
      <c r="AV84" s="27">
        <v>47</v>
      </c>
      <c r="AW84" s="27">
        <v>63</v>
      </c>
      <c r="AX84" s="27">
        <v>36</v>
      </c>
      <c r="AY84" s="27">
        <v>23</v>
      </c>
      <c r="AZ84" s="27">
        <v>382</v>
      </c>
      <c r="BA84" s="27">
        <v>148</v>
      </c>
      <c r="BB84" s="27">
        <v>169</v>
      </c>
      <c r="BC84" s="27">
        <v>591</v>
      </c>
      <c r="BD84" s="27">
        <v>699</v>
      </c>
      <c r="BE84" s="27">
        <v>760</v>
      </c>
      <c r="BF84" s="27">
        <v>61</v>
      </c>
      <c r="BG84" s="27">
        <v>0</v>
      </c>
      <c r="BH84" s="27">
        <v>3</v>
      </c>
      <c r="BI84" s="27">
        <v>200</v>
      </c>
      <c r="BJ84" s="27">
        <v>72</v>
      </c>
      <c r="BK84" s="29">
        <v>1</v>
      </c>
      <c r="BL84" s="29">
        <v>73</v>
      </c>
      <c r="BM84" s="29">
        <v>83</v>
      </c>
      <c r="BN84" s="30">
        <v>6.8402777777777812E-2</v>
      </c>
      <c r="BO84" s="31">
        <v>56.85</v>
      </c>
      <c r="BP84" s="31">
        <v>53.850000000000009</v>
      </c>
      <c r="BQ84" s="31">
        <v>53.850000000000009</v>
      </c>
      <c r="BR84" s="31">
        <v>57.849999999999994</v>
      </c>
      <c r="BS84" s="32">
        <v>0</v>
      </c>
      <c r="BT84" s="32">
        <v>0</v>
      </c>
      <c r="BU84" s="33">
        <v>0</v>
      </c>
      <c r="BV84" s="33">
        <v>0</v>
      </c>
      <c r="BW84" s="33">
        <v>61.622222000000001</v>
      </c>
      <c r="BX84" s="33">
        <v>61.62222222222222</v>
      </c>
      <c r="BY84" s="33">
        <v>70.12222222222222</v>
      </c>
      <c r="BZ84" s="33">
        <v>54.411111111111111</v>
      </c>
      <c r="CA84" s="33">
        <v>65.188888888888883</v>
      </c>
      <c r="CB84" s="33">
        <v>56.961111111111109</v>
      </c>
      <c r="CC84" s="33">
        <v>49.227777777777774</v>
      </c>
      <c r="CD84" s="33">
        <v>81.36666666666666</v>
      </c>
      <c r="CE84" s="33">
        <v>73.650000000000006</v>
      </c>
      <c r="CF84" s="33">
        <v>71.45</v>
      </c>
      <c r="CG84" s="33">
        <v>46.116666666666667</v>
      </c>
      <c r="CH84" s="33">
        <v>59.055555555555557</v>
      </c>
      <c r="CI84" s="33">
        <v>36.233333333333334</v>
      </c>
      <c r="CJ84" s="33">
        <v>22.56111111111111</v>
      </c>
      <c r="CK84" s="33">
        <v>377.27777777777777</v>
      </c>
      <c r="CL84" s="33">
        <v>145.10000000000002</v>
      </c>
      <c r="CM84" s="33">
        <v>163.96666666666667</v>
      </c>
      <c r="CN84" s="33">
        <v>584</v>
      </c>
      <c r="CO84" s="33">
        <v>686.34444444444455</v>
      </c>
      <c r="CP84" s="33">
        <v>747.9666666666667</v>
      </c>
      <c r="CQ84" s="33">
        <v>67.244444444444397</v>
      </c>
      <c r="CR84" s="33">
        <v>1</v>
      </c>
      <c r="CS84" s="33">
        <v>68.244444444444397</v>
      </c>
      <c r="CT84" s="33">
        <v>0</v>
      </c>
      <c r="CU84" s="33">
        <v>66</v>
      </c>
      <c r="CV84" s="32">
        <v>0</v>
      </c>
      <c r="CW84" s="32">
        <v>66</v>
      </c>
      <c r="CX84" s="32">
        <v>75</v>
      </c>
      <c r="CY84" s="32">
        <v>83</v>
      </c>
      <c r="CZ84" s="32">
        <v>69</v>
      </c>
      <c r="DA84" s="32">
        <v>72</v>
      </c>
      <c r="DB84" s="32">
        <v>70</v>
      </c>
      <c r="DC84" s="32">
        <v>82</v>
      </c>
      <c r="DD84" s="32">
        <v>95</v>
      </c>
      <c r="DE84" s="32">
        <v>70</v>
      </c>
      <c r="DF84" s="32">
        <v>55</v>
      </c>
      <c r="DG84" s="32">
        <v>40</v>
      </c>
      <c r="DH84" s="32">
        <v>49</v>
      </c>
      <c r="DI84" s="32">
        <v>35</v>
      </c>
      <c r="DJ84" s="32">
        <v>451</v>
      </c>
      <c r="DK84" s="32">
        <v>165</v>
      </c>
      <c r="DL84" s="32">
        <v>179</v>
      </c>
      <c r="DM84" s="32">
        <v>682</v>
      </c>
      <c r="DN84" s="32">
        <v>795</v>
      </c>
      <c r="DO84" s="32">
        <v>861</v>
      </c>
      <c r="DP84" s="32">
        <v>0</v>
      </c>
      <c r="DQ84" s="32">
        <v>191</v>
      </c>
      <c r="DR84" s="32">
        <v>75</v>
      </c>
      <c r="DS84" s="32">
        <v>5</v>
      </c>
      <c r="DT84" s="32">
        <v>80</v>
      </c>
      <c r="DU84" s="32">
        <v>94</v>
      </c>
      <c r="DV84" s="33">
        <v>60.919999999999995</v>
      </c>
      <c r="DW84" s="33">
        <v>57.919999999999995</v>
      </c>
      <c r="DX84" s="33">
        <v>26.76</v>
      </c>
      <c r="DY84" s="33">
        <v>23.950000000000006</v>
      </c>
      <c r="DZ84" s="33">
        <v>0</v>
      </c>
      <c r="EA84" s="33">
        <v>61.919999999999995</v>
      </c>
      <c r="EB84" s="34">
        <v>6.8318756073858122E-2</v>
      </c>
      <c r="EC84" s="32"/>
      <c r="ED84" s="32">
        <v>66</v>
      </c>
      <c r="EE84" s="32">
        <v>787</v>
      </c>
      <c r="EF84" s="32">
        <v>432</v>
      </c>
      <c r="EG84" s="32">
        <v>140</v>
      </c>
      <c r="EH84" s="32">
        <v>215</v>
      </c>
      <c r="EI84" s="32">
        <v>853</v>
      </c>
      <c r="EJ84" s="32">
        <v>0</v>
      </c>
      <c r="EK84" s="32">
        <v>68</v>
      </c>
      <c r="EL84" s="32">
        <v>68</v>
      </c>
      <c r="EM84" s="32">
        <v>63</v>
      </c>
      <c r="EN84" s="32">
        <v>5</v>
      </c>
      <c r="EO84" s="32">
        <v>0</v>
      </c>
      <c r="EP84" s="33">
        <v>11.3</v>
      </c>
      <c r="EQ84" s="33">
        <v>0</v>
      </c>
      <c r="ER84" s="33">
        <v>5</v>
      </c>
      <c r="ES84" s="33">
        <v>0</v>
      </c>
      <c r="ET84" s="33">
        <v>1.9</v>
      </c>
      <c r="EU84" s="33">
        <v>18.2</v>
      </c>
    </row>
    <row r="85" spans="1:151" ht="27.6" x14ac:dyDescent="0.3">
      <c r="A85" s="25" t="s">
        <v>94</v>
      </c>
      <c r="B85" s="26" t="s">
        <v>331</v>
      </c>
      <c r="C85" s="27" t="s">
        <v>95</v>
      </c>
      <c r="D85" s="27" t="s">
        <v>272</v>
      </c>
      <c r="E85" s="26" t="s">
        <v>504</v>
      </c>
      <c r="F85" s="26" t="s">
        <v>504</v>
      </c>
      <c r="G85" s="28">
        <v>138.71111111111111</v>
      </c>
      <c r="H85" s="28">
        <v>3.9666666666666668</v>
      </c>
      <c r="I85" s="29">
        <v>127</v>
      </c>
      <c r="J85" s="29">
        <v>727</v>
      </c>
      <c r="K85" s="29">
        <v>202</v>
      </c>
      <c r="L85" s="29">
        <v>0</v>
      </c>
      <c r="M85" s="29">
        <v>1056</v>
      </c>
      <c r="N85" s="29">
        <v>929</v>
      </c>
      <c r="O85" s="29">
        <v>1056</v>
      </c>
      <c r="P85" s="29">
        <v>5</v>
      </c>
      <c r="Q85" s="27">
        <v>128.70555555555555</v>
      </c>
      <c r="R85" s="27">
        <v>118.78333333333333</v>
      </c>
      <c r="S85" s="27">
        <v>123.12222222222222</v>
      </c>
      <c r="T85" s="27">
        <v>123.75555555555556</v>
      </c>
      <c r="U85" s="27">
        <v>124.18333333333334</v>
      </c>
      <c r="V85" s="27">
        <v>117.30555555555556</v>
      </c>
      <c r="W85" s="27">
        <v>116.22222222222223</v>
      </c>
      <c r="X85" s="27">
        <v>101.67777777777778</v>
      </c>
      <c r="Y85" s="27">
        <v>95.644444444444446</v>
      </c>
      <c r="Z85" s="27">
        <v>0</v>
      </c>
      <c r="AA85" s="27">
        <v>0</v>
      </c>
      <c r="AB85" s="27">
        <v>0</v>
      </c>
      <c r="AC85" s="27">
        <v>0</v>
      </c>
      <c r="AD85" s="27">
        <v>723.37222222222226</v>
      </c>
      <c r="AE85" s="27">
        <v>197.32222222222222</v>
      </c>
      <c r="AF85" s="27">
        <v>0</v>
      </c>
      <c r="AG85" s="27">
        <v>1049.4000000000001</v>
      </c>
      <c r="AH85" s="27">
        <v>920.69444444444457</v>
      </c>
      <c r="AI85" s="27">
        <v>1049.4000000000001</v>
      </c>
      <c r="AJ85" s="28">
        <v>159.60555555555555</v>
      </c>
      <c r="AK85" s="28">
        <v>5.8111111111111109</v>
      </c>
      <c r="AL85" s="28">
        <v>165.41666666666666</v>
      </c>
      <c r="AM85" s="29">
        <v>137</v>
      </c>
      <c r="AN85" s="35">
        <v>122</v>
      </c>
      <c r="AO85" s="27">
        <v>121</v>
      </c>
      <c r="AP85" s="27">
        <v>120</v>
      </c>
      <c r="AQ85" s="27">
        <v>121</v>
      </c>
      <c r="AR85" s="27">
        <v>122</v>
      </c>
      <c r="AS85" s="27">
        <v>120</v>
      </c>
      <c r="AT85" s="27">
        <v>108</v>
      </c>
      <c r="AU85" s="27">
        <v>102</v>
      </c>
      <c r="AV85" s="27">
        <v>0</v>
      </c>
      <c r="AW85" s="27">
        <v>0</v>
      </c>
      <c r="AX85" s="27">
        <v>0</v>
      </c>
      <c r="AY85" s="27">
        <v>0</v>
      </c>
      <c r="AZ85" s="27">
        <v>726</v>
      </c>
      <c r="BA85" s="27">
        <v>210</v>
      </c>
      <c r="BB85" s="27">
        <v>0</v>
      </c>
      <c r="BC85" s="27">
        <v>1073</v>
      </c>
      <c r="BD85" s="27">
        <v>936</v>
      </c>
      <c r="BE85" s="27">
        <v>1073</v>
      </c>
      <c r="BF85" s="27">
        <v>122</v>
      </c>
      <c r="BG85" s="27">
        <v>15</v>
      </c>
      <c r="BH85" s="27">
        <v>0</v>
      </c>
      <c r="BI85" s="27">
        <v>595</v>
      </c>
      <c r="BJ85" s="27">
        <v>176</v>
      </c>
      <c r="BK85" s="29">
        <v>8</v>
      </c>
      <c r="BL85" s="29">
        <v>184</v>
      </c>
      <c r="BM85" s="29">
        <v>267</v>
      </c>
      <c r="BN85" s="30">
        <v>6.4568805957300413E-2</v>
      </c>
      <c r="BO85" s="31">
        <v>54.921999999999997</v>
      </c>
      <c r="BP85" s="31">
        <v>51.921999999999997</v>
      </c>
      <c r="BQ85" s="31">
        <v>51.153999999999996</v>
      </c>
      <c r="BR85" s="31">
        <v>56.154000000000003</v>
      </c>
      <c r="BS85" s="32">
        <v>0</v>
      </c>
      <c r="BT85" s="32">
        <v>0</v>
      </c>
      <c r="BU85" s="33">
        <v>0</v>
      </c>
      <c r="BV85" s="33">
        <v>16.383333</v>
      </c>
      <c r="BW85" s="33">
        <v>116.91111100000001</v>
      </c>
      <c r="BX85" s="33">
        <v>133.29444444444445</v>
      </c>
      <c r="BY85" s="33">
        <v>120.31666666666666</v>
      </c>
      <c r="BZ85" s="33">
        <v>118.03888888888889</v>
      </c>
      <c r="CA85" s="33">
        <v>118.21666666666667</v>
      </c>
      <c r="CB85" s="33">
        <v>119.38888888888889</v>
      </c>
      <c r="CC85" s="33">
        <v>120.56111111111112</v>
      </c>
      <c r="CD85" s="33">
        <v>117.08333333333333</v>
      </c>
      <c r="CE85" s="33">
        <v>105.19444444444444</v>
      </c>
      <c r="CF85" s="33">
        <v>100.05</v>
      </c>
      <c r="CG85" s="33">
        <v>0</v>
      </c>
      <c r="CH85" s="33">
        <v>0</v>
      </c>
      <c r="CI85" s="33">
        <v>0</v>
      </c>
      <c r="CJ85" s="33">
        <v>0</v>
      </c>
      <c r="CK85" s="33">
        <v>713.60555555555561</v>
      </c>
      <c r="CL85" s="33">
        <v>205.24444444444444</v>
      </c>
      <c r="CM85" s="33">
        <v>0</v>
      </c>
      <c r="CN85" s="33">
        <v>1052.1444444444446</v>
      </c>
      <c r="CO85" s="33">
        <v>918.85</v>
      </c>
      <c r="CP85" s="33">
        <v>1052.1444444444446</v>
      </c>
      <c r="CQ85" s="33">
        <v>179.07777777777801</v>
      </c>
      <c r="CR85" s="33">
        <v>10.3722222222222</v>
      </c>
      <c r="CS85" s="33">
        <v>189.45000000000022</v>
      </c>
      <c r="CT85" s="33">
        <v>0</v>
      </c>
      <c r="CU85" s="33">
        <v>124</v>
      </c>
      <c r="CV85" s="32">
        <v>15</v>
      </c>
      <c r="CW85" s="32">
        <v>139</v>
      </c>
      <c r="CX85" s="32">
        <v>127</v>
      </c>
      <c r="CY85" s="32">
        <v>117</v>
      </c>
      <c r="CZ85" s="32">
        <v>120</v>
      </c>
      <c r="DA85" s="32">
        <v>120</v>
      </c>
      <c r="DB85" s="32">
        <v>120</v>
      </c>
      <c r="DC85" s="32">
        <v>115</v>
      </c>
      <c r="DD85" s="32">
        <v>100</v>
      </c>
      <c r="DE85" s="32">
        <v>96</v>
      </c>
      <c r="DF85" s="32">
        <v>0</v>
      </c>
      <c r="DG85" s="32">
        <v>0</v>
      </c>
      <c r="DH85" s="32">
        <v>0</v>
      </c>
      <c r="DI85" s="32">
        <v>0</v>
      </c>
      <c r="DJ85" s="32">
        <v>719</v>
      </c>
      <c r="DK85" s="32">
        <v>196</v>
      </c>
      <c r="DL85" s="32">
        <v>0</v>
      </c>
      <c r="DM85" s="32">
        <v>1054</v>
      </c>
      <c r="DN85" s="32">
        <v>915</v>
      </c>
      <c r="DO85" s="32">
        <v>1054</v>
      </c>
      <c r="DP85" s="32">
        <v>0</v>
      </c>
      <c r="DQ85" s="32">
        <v>536</v>
      </c>
      <c r="DR85" s="32">
        <v>136</v>
      </c>
      <c r="DS85" s="32">
        <v>11</v>
      </c>
      <c r="DT85" s="32">
        <v>147</v>
      </c>
      <c r="DU85" s="32">
        <v>248</v>
      </c>
      <c r="DV85" s="33">
        <v>59</v>
      </c>
      <c r="DW85" s="33">
        <v>55</v>
      </c>
      <c r="DX85" s="33">
        <v>43.440000000000005</v>
      </c>
      <c r="DY85" s="33">
        <v>11.56</v>
      </c>
      <c r="DZ85" s="33">
        <v>0</v>
      </c>
      <c r="EA85" s="33">
        <v>59</v>
      </c>
      <c r="EB85" s="34">
        <v>5.7350182918902981E-2</v>
      </c>
      <c r="EC85" s="32"/>
      <c r="ED85" s="32">
        <v>122</v>
      </c>
      <c r="EE85" s="32">
        <v>923</v>
      </c>
      <c r="EF85" s="32">
        <v>727</v>
      </c>
      <c r="EG85" s="32">
        <v>196</v>
      </c>
      <c r="EH85" s="32">
        <v>0</v>
      </c>
      <c r="EI85" s="32">
        <v>1045</v>
      </c>
      <c r="EJ85" s="32">
        <v>0</v>
      </c>
      <c r="EK85" s="32">
        <v>190</v>
      </c>
      <c r="EL85" s="32">
        <v>190</v>
      </c>
      <c r="EM85" s="32">
        <v>175</v>
      </c>
      <c r="EN85" s="32">
        <v>15</v>
      </c>
      <c r="EO85" s="32">
        <v>4</v>
      </c>
      <c r="EP85" s="33">
        <v>43.9</v>
      </c>
      <c r="EQ85" s="33">
        <v>1.44</v>
      </c>
      <c r="ER85" s="33">
        <v>3.72</v>
      </c>
      <c r="ES85" s="33">
        <v>3</v>
      </c>
      <c r="ET85" s="33">
        <v>5.32</v>
      </c>
      <c r="EU85" s="33">
        <v>57.379999999999995</v>
      </c>
    </row>
    <row r="86" spans="1:151" ht="27.6" x14ac:dyDescent="0.3">
      <c r="A86" s="25" t="s">
        <v>110</v>
      </c>
      <c r="B86" s="26" t="s">
        <v>345</v>
      </c>
      <c r="C86" s="27" t="s">
        <v>111</v>
      </c>
      <c r="D86" s="27" t="s">
        <v>272</v>
      </c>
      <c r="E86" s="26" t="s">
        <v>504</v>
      </c>
      <c r="F86" s="26" t="s">
        <v>504</v>
      </c>
      <c r="G86" s="28">
        <v>818.38333333333333</v>
      </c>
      <c r="H86" s="28">
        <v>405.88333333333333</v>
      </c>
      <c r="I86" s="29">
        <v>79</v>
      </c>
      <c r="J86" s="29">
        <v>660</v>
      </c>
      <c r="K86" s="29">
        <v>288</v>
      </c>
      <c r="L86" s="29">
        <v>535</v>
      </c>
      <c r="M86" s="29">
        <v>1562</v>
      </c>
      <c r="N86" s="29">
        <v>1483</v>
      </c>
      <c r="O86" s="29">
        <v>1027</v>
      </c>
      <c r="P86" s="29">
        <v>351</v>
      </c>
      <c r="Q86" s="27">
        <v>60.355555555555554</v>
      </c>
      <c r="R86" s="27">
        <v>58.677777777777777</v>
      </c>
      <c r="S86" s="27">
        <v>71.916666666666671</v>
      </c>
      <c r="T86" s="27">
        <v>80.8</v>
      </c>
      <c r="U86" s="27">
        <v>86.15</v>
      </c>
      <c r="V86" s="27">
        <v>84.933333333333337</v>
      </c>
      <c r="W86" s="27">
        <v>82.672222222222217</v>
      </c>
      <c r="X86" s="27">
        <v>104.88333333333334</v>
      </c>
      <c r="Y86" s="27">
        <v>107.12222222222222</v>
      </c>
      <c r="Z86" s="27">
        <v>112.69444444444444</v>
      </c>
      <c r="AA86" s="27">
        <v>112.65555555555555</v>
      </c>
      <c r="AB86" s="27">
        <v>109.92777777777778</v>
      </c>
      <c r="AC86" s="27">
        <v>95.455555555555549</v>
      </c>
      <c r="AD86" s="27">
        <v>465.15000000000003</v>
      </c>
      <c r="AE86" s="27">
        <v>212.00555555555556</v>
      </c>
      <c r="AF86" s="27">
        <v>430.73333333333335</v>
      </c>
      <c r="AG86" s="27">
        <v>737.51111111111106</v>
      </c>
      <c r="AH86" s="27">
        <v>1107.8888888888891</v>
      </c>
      <c r="AI86" s="27">
        <v>1168.2444444444443</v>
      </c>
      <c r="AJ86" s="28">
        <v>896.13333333333333</v>
      </c>
      <c r="AK86" s="28">
        <v>373.53888888888889</v>
      </c>
      <c r="AL86" s="28">
        <v>1269.6722222222222</v>
      </c>
      <c r="AM86" s="29">
        <v>74</v>
      </c>
      <c r="AN86" s="35">
        <v>90</v>
      </c>
      <c r="AO86" s="27">
        <v>103</v>
      </c>
      <c r="AP86" s="27">
        <v>122</v>
      </c>
      <c r="AQ86" s="27">
        <v>115</v>
      </c>
      <c r="AR86" s="27">
        <v>118</v>
      </c>
      <c r="AS86" s="27">
        <v>118</v>
      </c>
      <c r="AT86" s="27">
        <v>129</v>
      </c>
      <c r="AU86" s="27">
        <v>145</v>
      </c>
      <c r="AV86" s="27">
        <v>148</v>
      </c>
      <c r="AW86" s="27">
        <v>146</v>
      </c>
      <c r="AX86" s="27">
        <v>136</v>
      </c>
      <c r="AY86" s="27">
        <v>131</v>
      </c>
      <c r="AZ86" s="27">
        <v>666</v>
      </c>
      <c r="BA86" s="27">
        <v>274</v>
      </c>
      <c r="BB86" s="27">
        <v>561</v>
      </c>
      <c r="BC86" s="27">
        <v>1014</v>
      </c>
      <c r="BD86" s="27">
        <v>1501</v>
      </c>
      <c r="BE86" s="27">
        <v>1575</v>
      </c>
      <c r="BF86" s="27">
        <v>74</v>
      </c>
      <c r="BG86" s="27">
        <v>0</v>
      </c>
      <c r="BH86" s="27">
        <v>0</v>
      </c>
      <c r="BI86" s="27">
        <v>362</v>
      </c>
      <c r="BJ86" s="27">
        <v>859</v>
      </c>
      <c r="BK86" s="29">
        <v>358</v>
      </c>
      <c r="BL86" s="29">
        <v>1217</v>
      </c>
      <c r="BM86" s="29">
        <v>26</v>
      </c>
      <c r="BN86" s="30">
        <v>6.387132300696291E-2</v>
      </c>
      <c r="BO86" s="31">
        <v>189.98300000000003</v>
      </c>
      <c r="BP86" s="31">
        <v>180.98300000000003</v>
      </c>
      <c r="BQ86" s="31">
        <v>154.92200000000003</v>
      </c>
      <c r="BR86" s="31">
        <v>194.01000000000002</v>
      </c>
      <c r="BS86" s="32">
        <v>0</v>
      </c>
      <c r="BT86" s="32">
        <v>0</v>
      </c>
      <c r="BU86" s="33">
        <v>0</v>
      </c>
      <c r="BV86" s="33">
        <v>0.405555</v>
      </c>
      <c r="BW86" s="33">
        <v>44.533332999999999</v>
      </c>
      <c r="BX86" s="33">
        <v>44.93888888888889</v>
      </c>
      <c r="BY86" s="33">
        <v>64.011111111111106</v>
      </c>
      <c r="BZ86" s="33">
        <v>69.827777777777783</v>
      </c>
      <c r="CA86" s="33">
        <v>77.672222222222217</v>
      </c>
      <c r="CB86" s="33">
        <v>86.211111111111109</v>
      </c>
      <c r="CC86" s="33">
        <v>91.038888888888891</v>
      </c>
      <c r="CD86" s="33">
        <v>81.816666666666663</v>
      </c>
      <c r="CE86" s="33">
        <v>106.87777777777778</v>
      </c>
      <c r="CF86" s="33">
        <v>111.42777777777778</v>
      </c>
      <c r="CG86" s="33">
        <v>118.96666666666667</v>
      </c>
      <c r="CH86" s="33">
        <v>120.22777777777777</v>
      </c>
      <c r="CI86" s="33">
        <v>110.77222222222223</v>
      </c>
      <c r="CJ86" s="33">
        <v>102.96111111111111</v>
      </c>
      <c r="CK86" s="33">
        <v>470.57777777777778</v>
      </c>
      <c r="CL86" s="33">
        <v>218.30555555555554</v>
      </c>
      <c r="CM86" s="33">
        <v>452.92777777777781</v>
      </c>
      <c r="CN86" s="33">
        <v>733.82222222222219</v>
      </c>
      <c r="CO86" s="33">
        <v>1141.8111111111111</v>
      </c>
      <c r="CP86" s="33">
        <v>1186.75</v>
      </c>
      <c r="CQ86" s="33">
        <v>935.26666666666699</v>
      </c>
      <c r="CR86" s="33">
        <v>356.98333333333301</v>
      </c>
      <c r="CS86" s="33">
        <v>1292.25</v>
      </c>
      <c r="CT86" s="33">
        <v>0</v>
      </c>
      <c r="CU86" s="33">
        <v>68</v>
      </c>
      <c r="CV86" s="32">
        <v>1</v>
      </c>
      <c r="CW86" s="32">
        <v>69</v>
      </c>
      <c r="CX86" s="32">
        <v>95</v>
      </c>
      <c r="CY86" s="32">
        <v>98</v>
      </c>
      <c r="CZ86" s="32">
        <v>106</v>
      </c>
      <c r="DA86" s="32">
        <v>117</v>
      </c>
      <c r="DB86" s="32">
        <v>120</v>
      </c>
      <c r="DC86" s="32">
        <v>114</v>
      </c>
      <c r="DD86" s="32">
        <v>131</v>
      </c>
      <c r="DE86" s="32">
        <v>134</v>
      </c>
      <c r="DF86" s="32">
        <v>151</v>
      </c>
      <c r="DG86" s="32">
        <v>151</v>
      </c>
      <c r="DH86" s="32">
        <v>136</v>
      </c>
      <c r="DI86" s="32">
        <v>139</v>
      </c>
      <c r="DJ86" s="32">
        <v>650</v>
      </c>
      <c r="DK86" s="32">
        <v>265</v>
      </c>
      <c r="DL86" s="32">
        <v>577</v>
      </c>
      <c r="DM86" s="32">
        <v>984</v>
      </c>
      <c r="DN86" s="32">
        <v>1492</v>
      </c>
      <c r="DO86" s="32">
        <v>1561</v>
      </c>
      <c r="DP86" s="32">
        <v>0</v>
      </c>
      <c r="DQ86" s="32">
        <v>432</v>
      </c>
      <c r="DR86" s="32">
        <v>823</v>
      </c>
      <c r="DS86" s="32">
        <v>378</v>
      </c>
      <c r="DT86" s="32">
        <v>1201</v>
      </c>
      <c r="DU86" s="32">
        <v>28</v>
      </c>
      <c r="DV86" s="33">
        <v>202.56099999999998</v>
      </c>
      <c r="DW86" s="33">
        <v>192.42099999999999</v>
      </c>
      <c r="DX86" s="33">
        <v>61.777999999999999</v>
      </c>
      <c r="DY86" s="33">
        <v>79.517999999999986</v>
      </c>
      <c r="DZ86" s="33">
        <v>0</v>
      </c>
      <c r="EA86" s="33">
        <v>205.56099999999995</v>
      </c>
      <c r="EB86" s="34">
        <v>6.1709963922513433E-2</v>
      </c>
      <c r="EC86" s="32"/>
      <c r="ED86" s="32">
        <v>81</v>
      </c>
      <c r="EE86" s="32">
        <v>1466</v>
      </c>
      <c r="EF86" s="32">
        <v>630</v>
      </c>
      <c r="EG86" s="32">
        <v>256</v>
      </c>
      <c r="EH86" s="32">
        <v>580</v>
      </c>
      <c r="EI86" s="32">
        <v>1547</v>
      </c>
      <c r="EJ86" s="32">
        <v>0</v>
      </c>
      <c r="EK86" s="32">
        <v>1309</v>
      </c>
      <c r="EL86" s="32">
        <v>1309</v>
      </c>
      <c r="EM86" s="32">
        <v>920</v>
      </c>
      <c r="EN86" s="32">
        <v>389</v>
      </c>
      <c r="EO86" s="32">
        <v>361</v>
      </c>
      <c r="EP86" s="33">
        <v>196.578</v>
      </c>
      <c r="EQ86" s="33">
        <v>4</v>
      </c>
      <c r="ER86" s="33">
        <v>15</v>
      </c>
      <c r="ES86" s="33">
        <v>61.953000000000003</v>
      </c>
      <c r="ET86" s="33">
        <v>13.955</v>
      </c>
      <c r="EU86" s="33">
        <v>291.48599999999999</v>
      </c>
    </row>
    <row r="87" spans="1:151" ht="27.6" x14ac:dyDescent="0.3">
      <c r="A87" s="25" t="s">
        <v>127</v>
      </c>
      <c r="B87" s="26" t="s">
        <v>362</v>
      </c>
      <c r="C87" s="27" t="s">
        <v>128</v>
      </c>
      <c r="D87" s="27" t="s">
        <v>272</v>
      </c>
      <c r="E87" s="26" t="s">
        <v>504</v>
      </c>
      <c r="F87" s="26" t="s">
        <v>504</v>
      </c>
      <c r="G87" s="28">
        <v>41.116666666666667</v>
      </c>
      <c r="H87" s="28">
        <v>4.822222222222222</v>
      </c>
      <c r="I87" s="29">
        <v>59</v>
      </c>
      <c r="J87" s="29">
        <v>232</v>
      </c>
      <c r="K87" s="29">
        <v>0</v>
      </c>
      <c r="L87" s="29">
        <v>0</v>
      </c>
      <c r="M87" s="29">
        <v>291</v>
      </c>
      <c r="N87" s="29">
        <v>232</v>
      </c>
      <c r="O87" s="29">
        <v>291</v>
      </c>
      <c r="P87" s="29">
        <v>5</v>
      </c>
      <c r="Q87" s="27">
        <v>61.355555555555554</v>
      </c>
      <c r="R87" s="27">
        <v>45.555555555555557</v>
      </c>
      <c r="S87" s="27">
        <v>45.37777777777778</v>
      </c>
      <c r="T87" s="27">
        <v>45.172222222222224</v>
      </c>
      <c r="U87" s="27">
        <v>36.644444444444446</v>
      </c>
      <c r="V87" s="27">
        <v>29.394444444444446</v>
      </c>
      <c r="W87" s="27">
        <v>21.983333333333334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224.12777777777779</v>
      </c>
      <c r="AE87" s="27">
        <v>0</v>
      </c>
      <c r="AF87" s="27">
        <v>0</v>
      </c>
      <c r="AG87" s="27">
        <v>285.48333333333335</v>
      </c>
      <c r="AH87" s="27">
        <v>224.12777777777779</v>
      </c>
      <c r="AI87" s="27">
        <v>285.48333333333335</v>
      </c>
      <c r="AJ87" s="28">
        <v>40.9</v>
      </c>
      <c r="AK87" s="28">
        <v>5.4888888888888889</v>
      </c>
      <c r="AL87" s="28">
        <v>46.388888888888886</v>
      </c>
      <c r="AM87" s="29">
        <v>41</v>
      </c>
      <c r="AN87" s="35">
        <v>45</v>
      </c>
      <c r="AO87" s="27">
        <v>38</v>
      </c>
      <c r="AP87" s="27">
        <v>38</v>
      </c>
      <c r="AQ87" s="27">
        <v>32</v>
      </c>
      <c r="AR87" s="27">
        <v>29</v>
      </c>
      <c r="AS87" s="27">
        <v>22</v>
      </c>
      <c r="AT87" s="27">
        <v>0</v>
      </c>
      <c r="AU87" s="27">
        <v>0</v>
      </c>
      <c r="AV87" s="27">
        <v>0</v>
      </c>
      <c r="AW87" s="27">
        <v>0</v>
      </c>
      <c r="AX87" s="27">
        <v>0</v>
      </c>
      <c r="AY87" s="27">
        <v>0</v>
      </c>
      <c r="AZ87" s="27">
        <v>204</v>
      </c>
      <c r="BA87" s="27">
        <v>0</v>
      </c>
      <c r="BB87" s="27">
        <v>0</v>
      </c>
      <c r="BC87" s="27">
        <v>245</v>
      </c>
      <c r="BD87" s="27">
        <v>204</v>
      </c>
      <c r="BE87" s="27">
        <v>245</v>
      </c>
      <c r="BF87" s="27">
        <v>41</v>
      </c>
      <c r="BG87" s="27">
        <v>0</v>
      </c>
      <c r="BH87" s="27">
        <v>0</v>
      </c>
      <c r="BI87" s="27">
        <v>146</v>
      </c>
      <c r="BJ87" s="27">
        <v>28</v>
      </c>
      <c r="BK87" s="29">
        <v>6</v>
      </c>
      <c r="BL87" s="29">
        <v>34</v>
      </c>
      <c r="BM87" s="29">
        <v>80</v>
      </c>
      <c r="BN87" s="30">
        <v>6.9117647058823506E-2</v>
      </c>
      <c r="BO87" s="31">
        <v>10.5</v>
      </c>
      <c r="BP87" s="31">
        <v>10.5</v>
      </c>
      <c r="BQ87" s="31">
        <v>10.5</v>
      </c>
      <c r="BR87" s="31">
        <v>10.5</v>
      </c>
      <c r="BS87" s="32">
        <v>0</v>
      </c>
      <c r="BT87" s="32">
        <v>0</v>
      </c>
      <c r="BU87" s="33">
        <v>0</v>
      </c>
      <c r="BV87" s="33">
        <v>1.9388879999999999</v>
      </c>
      <c r="BW87" s="33">
        <v>37.200000000000003</v>
      </c>
      <c r="BX87" s="33">
        <v>39.138888888888886</v>
      </c>
      <c r="BY87" s="33">
        <v>40.911111111111111</v>
      </c>
      <c r="BZ87" s="33">
        <v>38.155555555555559</v>
      </c>
      <c r="CA87" s="33">
        <v>31.333333333333332</v>
      </c>
      <c r="CB87" s="33">
        <v>30.233333333333334</v>
      </c>
      <c r="CC87" s="33">
        <v>29.56111111111111</v>
      </c>
      <c r="CD87" s="33">
        <v>20.611111111111111</v>
      </c>
      <c r="CE87" s="33">
        <v>0</v>
      </c>
      <c r="CF87" s="33">
        <v>0</v>
      </c>
      <c r="CG87" s="33">
        <v>0</v>
      </c>
      <c r="CH87" s="33">
        <v>0</v>
      </c>
      <c r="CI87" s="33">
        <v>0</v>
      </c>
      <c r="CJ87" s="33">
        <v>0</v>
      </c>
      <c r="CK87" s="33">
        <v>190.80555555555554</v>
      </c>
      <c r="CL87" s="33">
        <v>0</v>
      </c>
      <c r="CM87" s="33">
        <v>0</v>
      </c>
      <c r="CN87" s="33">
        <v>229.94444444444446</v>
      </c>
      <c r="CO87" s="33">
        <v>190.80555555555554</v>
      </c>
      <c r="CP87" s="33">
        <v>229.94444444444446</v>
      </c>
      <c r="CQ87" s="33">
        <v>25.961111111111101</v>
      </c>
      <c r="CR87" s="33">
        <v>5.7611111111111102</v>
      </c>
      <c r="CS87" s="33">
        <v>31.722222222222211</v>
      </c>
      <c r="CT87" s="33">
        <v>0</v>
      </c>
      <c r="CU87" s="33">
        <v>39</v>
      </c>
      <c r="CV87" s="32">
        <v>0</v>
      </c>
      <c r="CW87" s="32">
        <v>39</v>
      </c>
      <c r="CX87" s="32">
        <v>32</v>
      </c>
      <c r="CY87" s="32">
        <v>32</v>
      </c>
      <c r="CZ87" s="32">
        <v>42</v>
      </c>
      <c r="DA87" s="32">
        <v>28</v>
      </c>
      <c r="DB87" s="32">
        <v>27</v>
      </c>
      <c r="DC87" s="32">
        <v>24</v>
      </c>
      <c r="DD87" s="32">
        <v>0</v>
      </c>
      <c r="DE87" s="32">
        <v>0</v>
      </c>
      <c r="DF87" s="32">
        <v>0</v>
      </c>
      <c r="DG87" s="32">
        <v>0</v>
      </c>
      <c r="DH87" s="32">
        <v>0</v>
      </c>
      <c r="DI87" s="32">
        <v>0</v>
      </c>
      <c r="DJ87" s="32">
        <v>185</v>
      </c>
      <c r="DK87" s="32">
        <v>0</v>
      </c>
      <c r="DL87" s="32">
        <v>0</v>
      </c>
      <c r="DM87" s="32">
        <v>224</v>
      </c>
      <c r="DN87" s="32">
        <v>185</v>
      </c>
      <c r="DO87" s="32">
        <v>224</v>
      </c>
      <c r="DP87" s="32">
        <v>0</v>
      </c>
      <c r="DQ87" s="32">
        <v>122</v>
      </c>
      <c r="DR87" s="32">
        <v>12</v>
      </c>
      <c r="DS87" s="32">
        <v>5</v>
      </c>
      <c r="DT87" s="32">
        <v>17</v>
      </c>
      <c r="DU87" s="32">
        <v>80</v>
      </c>
      <c r="DV87" s="33">
        <v>11.5</v>
      </c>
      <c r="DW87" s="33">
        <v>11.5</v>
      </c>
      <c r="DX87" s="33">
        <v>11.5</v>
      </c>
      <c r="DY87" s="33">
        <v>0</v>
      </c>
      <c r="DZ87" s="33">
        <v>0</v>
      </c>
      <c r="EA87" s="33">
        <v>13.49</v>
      </c>
      <c r="EB87" s="34">
        <v>7.2727272727272696E-2</v>
      </c>
      <c r="EC87" s="32"/>
      <c r="ED87" s="32">
        <v>38</v>
      </c>
      <c r="EE87" s="32">
        <v>187</v>
      </c>
      <c r="EF87" s="32">
        <v>187</v>
      </c>
      <c r="EG87" s="32">
        <v>0</v>
      </c>
      <c r="EH87" s="32">
        <v>0</v>
      </c>
      <c r="EI87" s="32">
        <v>225</v>
      </c>
      <c r="EJ87" s="32">
        <v>0</v>
      </c>
      <c r="EK87" s="32">
        <v>31</v>
      </c>
      <c r="EL87" s="32">
        <v>31</v>
      </c>
      <c r="EM87" s="32">
        <v>27</v>
      </c>
      <c r="EN87" s="32">
        <v>4</v>
      </c>
      <c r="EO87" s="32">
        <v>6</v>
      </c>
      <c r="EP87" s="33">
        <v>11.75</v>
      </c>
      <c r="EQ87" s="33">
        <v>0</v>
      </c>
      <c r="ER87" s="33">
        <v>2</v>
      </c>
      <c r="ES87" s="33">
        <v>0</v>
      </c>
      <c r="ET87" s="33">
        <v>12.13</v>
      </c>
      <c r="EU87" s="33">
        <v>25.880000000000003</v>
      </c>
    </row>
    <row r="88" spans="1:151" ht="27.6" x14ac:dyDescent="0.3">
      <c r="A88" s="25" t="s">
        <v>143</v>
      </c>
      <c r="B88" s="26" t="s">
        <v>374</v>
      </c>
      <c r="C88" s="27" t="s">
        <v>144</v>
      </c>
      <c r="D88" s="27" t="s">
        <v>272</v>
      </c>
      <c r="E88" s="26" t="s">
        <v>504</v>
      </c>
      <c r="F88" s="26" t="s">
        <v>504</v>
      </c>
      <c r="G88" s="28">
        <v>143.07777777777778</v>
      </c>
      <c r="H88" s="28">
        <v>0</v>
      </c>
      <c r="I88" s="29">
        <v>40</v>
      </c>
      <c r="J88" s="29">
        <v>279</v>
      </c>
      <c r="K88" s="29">
        <v>125</v>
      </c>
      <c r="L88" s="29">
        <v>334</v>
      </c>
      <c r="M88" s="29">
        <v>778</v>
      </c>
      <c r="N88" s="29">
        <v>738</v>
      </c>
      <c r="O88" s="29">
        <v>444</v>
      </c>
      <c r="P88" s="29">
        <v>0</v>
      </c>
      <c r="Q88" s="27">
        <v>38.494444444444447</v>
      </c>
      <c r="R88" s="27">
        <v>48.422222222222224</v>
      </c>
      <c r="S88" s="27">
        <v>47.305555555555557</v>
      </c>
      <c r="T88" s="27">
        <v>41.794444444444444</v>
      </c>
      <c r="U88" s="27">
        <v>46.211111111111109</v>
      </c>
      <c r="V88" s="27">
        <v>46.37777777777778</v>
      </c>
      <c r="W88" s="27">
        <v>50.227777777777774</v>
      </c>
      <c r="X88" s="27">
        <v>63.555555555555557</v>
      </c>
      <c r="Y88" s="27">
        <v>60.366666666666667</v>
      </c>
      <c r="Z88" s="27">
        <v>93.072222222222223</v>
      </c>
      <c r="AA88" s="27">
        <v>91.022222222222226</v>
      </c>
      <c r="AB88" s="27">
        <v>75.12777777777778</v>
      </c>
      <c r="AC88" s="27">
        <v>70</v>
      </c>
      <c r="AD88" s="27">
        <v>280.3388888888889</v>
      </c>
      <c r="AE88" s="27">
        <v>123.92222222222222</v>
      </c>
      <c r="AF88" s="27">
        <v>329.22222222222223</v>
      </c>
      <c r="AG88" s="27">
        <v>442.75555555555553</v>
      </c>
      <c r="AH88" s="27">
        <v>733.48333333333335</v>
      </c>
      <c r="AI88" s="27">
        <v>771.97777777777776</v>
      </c>
      <c r="AJ88" s="28">
        <v>162.17777777777778</v>
      </c>
      <c r="AK88" s="28">
        <v>0.4</v>
      </c>
      <c r="AL88" s="28">
        <v>162.57777777777778</v>
      </c>
      <c r="AM88" s="29">
        <v>38</v>
      </c>
      <c r="AN88" s="35">
        <v>42</v>
      </c>
      <c r="AO88" s="27">
        <v>42</v>
      </c>
      <c r="AP88" s="27">
        <v>51</v>
      </c>
      <c r="AQ88" s="27">
        <v>47</v>
      </c>
      <c r="AR88" s="27">
        <v>50</v>
      </c>
      <c r="AS88" s="27">
        <v>58</v>
      </c>
      <c r="AT88" s="27">
        <v>62</v>
      </c>
      <c r="AU88" s="27">
        <v>61</v>
      </c>
      <c r="AV88" s="27">
        <v>103</v>
      </c>
      <c r="AW88" s="27">
        <v>99</v>
      </c>
      <c r="AX88" s="27">
        <v>86</v>
      </c>
      <c r="AY88" s="27">
        <v>65</v>
      </c>
      <c r="AZ88" s="27">
        <v>290</v>
      </c>
      <c r="BA88" s="27">
        <v>123</v>
      </c>
      <c r="BB88" s="27">
        <v>353</v>
      </c>
      <c r="BC88" s="27">
        <v>451</v>
      </c>
      <c r="BD88" s="27">
        <v>766</v>
      </c>
      <c r="BE88" s="27">
        <v>804</v>
      </c>
      <c r="BF88" s="27">
        <v>0</v>
      </c>
      <c r="BG88" s="27">
        <v>38</v>
      </c>
      <c r="BH88" s="27">
        <v>1</v>
      </c>
      <c r="BI88" s="27">
        <v>191</v>
      </c>
      <c r="BJ88" s="27">
        <v>177</v>
      </c>
      <c r="BK88" s="29">
        <v>2</v>
      </c>
      <c r="BL88" s="29">
        <v>179</v>
      </c>
      <c r="BM88" s="29">
        <v>21</v>
      </c>
      <c r="BN88" s="30">
        <v>7.5247767370943242E-2</v>
      </c>
      <c r="BO88" s="31">
        <v>46.250000000000007</v>
      </c>
      <c r="BP88" s="31">
        <v>42.250000000000007</v>
      </c>
      <c r="BQ88" s="31">
        <v>41.95</v>
      </c>
      <c r="BR88" s="31">
        <v>48.949999999999996</v>
      </c>
      <c r="BS88" s="32">
        <v>0</v>
      </c>
      <c r="BT88" s="32">
        <v>0</v>
      </c>
      <c r="BU88" s="33">
        <v>0</v>
      </c>
      <c r="BV88" s="33">
        <v>37.127777000000002</v>
      </c>
      <c r="BW88" s="33">
        <v>0</v>
      </c>
      <c r="BX88" s="33">
        <v>37.12777777777778</v>
      </c>
      <c r="BY88" s="33">
        <v>41.055555555555557</v>
      </c>
      <c r="BZ88" s="33">
        <v>43.572222222222223</v>
      </c>
      <c r="CA88" s="33">
        <v>49.694444444444443</v>
      </c>
      <c r="CB88" s="33">
        <v>45.016666666666666</v>
      </c>
      <c r="CC88" s="33">
        <v>49.3</v>
      </c>
      <c r="CD88" s="33">
        <v>56.8</v>
      </c>
      <c r="CE88" s="33">
        <v>62.644444444444446</v>
      </c>
      <c r="CF88" s="33">
        <v>59.06111111111111</v>
      </c>
      <c r="CG88" s="33">
        <v>100.78888888888889</v>
      </c>
      <c r="CH88" s="33">
        <v>95.777777777777771</v>
      </c>
      <c r="CI88" s="33">
        <v>82.538888888888891</v>
      </c>
      <c r="CJ88" s="33">
        <v>63.31666666666667</v>
      </c>
      <c r="CK88" s="33">
        <v>285.43888888888893</v>
      </c>
      <c r="CL88" s="33">
        <v>121.70555555555555</v>
      </c>
      <c r="CM88" s="33">
        <v>342.42222222222222</v>
      </c>
      <c r="CN88" s="33">
        <v>444.27222222222224</v>
      </c>
      <c r="CO88" s="33">
        <v>749.56666666666683</v>
      </c>
      <c r="CP88" s="33">
        <v>786.69444444444457</v>
      </c>
      <c r="CQ88" s="33">
        <v>181.75</v>
      </c>
      <c r="CR88" s="33">
        <v>1.62777777777778</v>
      </c>
      <c r="CS88" s="33">
        <v>183.37777777777779</v>
      </c>
      <c r="CT88" s="33">
        <v>0</v>
      </c>
      <c r="CU88" s="33">
        <v>41</v>
      </c>
      <c r="CV88" s="32">
        <v>6</v>
      </c>
      <c r="CW88" s="32">
        <v>47</v>
      </c>
      <c r="CX88" s="32">
        <v>38</v>
      </c>
      <c r="CY88" s="32">
        <v>43</v>
      </c>
      <c r="CZ88" s="32">
        <v>46</v>
      </c>
      <c r="DA88" s="32">
        <v>47</v>
      </c>
      <c r="DB88" s="32">
        <v>48</v>
      </c>
      <c r="DC88" s="32">
        <v>58</v>
      </c>
      <c r="DD88" s="32">
        <v>60</v>
      </c>
      <c r="DE88" s="32">
        <v>59</v>
      </c>
      <c r="DF88" s="32">
        <v>94</v>
      </c>
      <c r="DG88" s="32">
        <v>104</v>
      </c>
      <c r="DH88" s="32">
        <v>83</v>
      </c>
      <c r="DI88" s="32">
        <v>74</v>
      </c>
      <c r="DJ88" s="32">
        <v>280</v>
      </c>
      <c r="DK88" s="32">
        <v>119</v>
      </c>
      <c r="DL88" s="32">
        <v>355</v>
      </c>
      <c r="DM88" s="32">
        <v>446</v>
      </c>
      <c r="DN88" s="32">
        <v>754</v>
      </c>
      <c r="DO88" s="32">
        <v>801</v>
      </c>
      <c r="DP88" s="32">
        <v>1</v>
      </c>
      <c r="DQ88" s="32">
        <v>152</v>
      </c>
      <c r="DR88" s="32">
        <v>204</v>
      </c>
      <c r="DS88" s="32">
        <v>1</v>
      </c>
      <c r="DT88" s="32">
        <v>205</v>
      </c>
      <c r="DU88" s="32">
        <v>29</v>
      </c>
      <c r="DV88" s="33">
        <v>48.95</v>
      </c>
      <c r="DW88" s="33">
        <v>44.95</v>
      </c>
      <c r="DX88" s="33">
        <v>16.490000000000002</v>
      </c>
      <c r="DY88" s="33">
        <v>24.829999999999995</v>
      </c>
      <c r="DZ88" s="33">
        <v>0</v>
      </c>
      <c r="EA88" s="33">
        <v>49.95</v>
      </c>
      <c r="EB88" s="34">
        <v>6.5822949117341711E-2</v>
      </c>
      <c r="EC88" s="32"/>
      <c r="ED88" s="32">
        <v>47</v>
      </c>
      <c r="EE88" s="32">
        <v>753</v>
      </c>
      <c r="EF88" s="32">
        <v>292</v>
      </c>
      <c r="EG88" s="32">
        <v>117</v>
      </c>
      <c r="EH88" s="32">
        <v>344</v>
      </c>
      <c r="EI88" s="32">
        <v>800</v>
      </c>
      <c r="EJ88" s="32">
        <v>0</v>
      </c>
      <c r="EK88" s="32">
        <v>201</v>
      </c>
      <c r="EL88" s="32">
        <v>201</v>
      </c>
      <c r="EM88" s="32">
        <v>199</v>
      </c>
      <c r="EN88" s="32">
        <v>2</v>
      </c>
      <c r="EO88" s="32">
        <v>0</v>
      </c>
      <c r="EP88" s="33">
        <v>17.8</v>
      </c>
      <c r="EQ88" s="33">
        <v>0.2</v>
      </c>
      <c r="ER88" s="33">
        <v>3.6</v>
      </c>
      <c r="ES88" s="33">
        <v>1</v>
      </c>
      <c r="ET88" s="33">
        <v>12.6</v>
      </c>
      <c r="EU88" s="33">
        <v>35.200000000000003</v>
      </c>
    </row>
    <row r="89" spans="1:151" ht="41.4" x14ac:dyDescent="0.3">
      <c r="A89" s="25" t="s">
        <v>161</v>
      </c>
      <c r="B89" s="26" t="s">
        <v>386</v>
      </c>
      <c r="C89" s="27" t="s">
        <v>162</v>
      </c>
      <c r="D89" s="27" t="s">
        <v>272</v>
      </c>
      <c r="E89" s="26" t="s">
        <v>504</v>
      </c>
      <c r="F89" s="26" t="s">
        <v>504</v>
      </c>
      <c r="G89" s="28">
        <v>22.988888888888887</v>
      </c>
      <c r="H89" s="28">
        <v>1</v>
      </c>
      <c r="I89" s="29">
        <v>20</v>
      </c>
      <c r="J89" s="29">
        <v>125</v>
      </c>
      <c r="K89" s="29">
        <v>25</v>
      </c>
      <c r="L89" s="29">
        <v>0</v>
      </c>
      <c r="M89" s="29">
        <v>170</v>
      </c>
      <c r="N89" s="29">
        <v>150</v>
      </c>
      <c r="O89" s="29">
        <v>170</v>
      </c>
      <c r="P89" s="29">
        <v>1</v>
      </c>
      <c r="Q89" s="27">
        <v>18.816666666666666</v>
      </c>
      <c r="R89" s="27">
        <v>19.633333333333333</v>
      </c>
      <c r="S89" s="27">
        <v>20.144444444444446</v>
      </c>
      <c r="T89" s="27">
        <v>21</v>
      </c>
      <c r="U89" s="27">
        <v>21</v>
      </c>
      <c r="V89" s="27">
        <v>20.827777777777779</v>
      </c>
      <c r="W89" s="27">
        <v>19.977777777777778</v>
      </c>
      <c r="X89" s="27">
        <v>12.644444444444444</v>
      </c>
      <c r="Y89" s="27">
        <v>9.9111111111111114</v>
      </c>
      <c r="Z89" s="27">
        <v>0</v>
      </c>
      <c r="AA89" s="27">
        <v>0</v>
      </c>
      <c r="AB89" s="27">
        <v>0</v>
      </c>
      <c r="AC89" s="27">
        <v>0</v>
      </c>
      <c r="AD89" s="27">
        <v>122.58333333333333</v>
      </c>
      <c r="AE89" s="27">
        <v>22.555555555555557</v>
      </c>
      <c r="AF89" s="27">
        <v>0</v>
      </c>
      <c r="AG89" s="27">
        <v>163.95555555555558</v>
      </c>
      <c r="AH89" s="27">
        <v>145.13888888888886</v>
      </c>
      <c r="AI89" s="27">
        <v>163.95555555555558</v>
      </c>
      <c r="AJ89" s="28">
        <v>29.066666666666666</v>
      </c>
      <c r="AK89" s="28">
        <v>0.33888888888888891</v>
      </c>
      <c r="AL89" s="28">
        <v>29.405555555555555</v>
      </c>
      <c r="AM89" s="29">
        <v>19</v>
      </c>
      <c r="AN89" s="35">
        <v>15</v>
      </c>
      <c r="AO89" s="27">
        <v>19</v>
      </c>
      <c r="AP89" s="27">
        <v>19</v>
      </c>
      <c r="AQ89" s="27">
        <v>20</v>
      </c>
      <c r="AR89" s="27">
        <v>20</v>
      </c>
      <c r="AS89" s="27">
        <v>20</v>
      </c>
      <c r="AT89" s="27">
        <v>20</v>
      </c>
      <c r="AU89" s="27">
        <v>14</v>
      </c>
      <c r="AV89" s="27">
        <v>0</v>
      </c>
      <c r="AW89" s="27">
        <v>0</v>
      </c>
      <c r="AX89" s="27">
        <v>0</v>
      </c>
      <c r="AY89" s="27">
        <v>0</v>
      </c>
      <c r="AZ89" s="27">
        <v>113</v>
      </c>
      <c r="BA89" s="27">
        <v>34</v>
      </c>
      <c r="BB89" s="27">
        <v>0</v>
      </c>
      <c r="BC89" s="27">
        <v>166</v>
      </c>
      <c r="BD89" s="27">
        <v>147</v>
      </c>
      <c r="BE89" s="27">
        <v>166</v>
      </c>
      <c r="BF89" s="27">
        <v>19</v>
      </c>
      <c r="BG89" s="27">
        <v>0</v>
      </c>
      <c r="BH89" s="27">
        <v>0</v>
      </c>
      <c r="BI89" s="27">
        <v>31</v>
      </c>
      <c r="BJ89" s="27">
        <v>33</v>
      </c>
      <c r="BK89" s="29">
        <v>2</v>
      </c>
      <c r="BL89" s="29">
        <v>35</v>
      </c>
      <c r="BM89" s="29">
        <v>6</v>
      </c>
      <c r="BN89" s="30">
        <v>5.9722222222222232E-2</v>
      </c>
      <c r="BO89" s="31">
        <v>7.65</v>
      </c>
      <c r="BP89" s="31">
        <v>7.65</v>
      </c>
      <c r="BQ89" s="31">
        <v>6.25</v>
      </c>
      <c r="BR89" s="31">
        <v>8.65</v>
      </c>
      <c r="BS89" s="32">
        <v>0</v>
      </c>
      <c r="BT89" s="32">
        <v>0</v>
      </c>
      <c r="BU89" s="33">
        <v>0</v>
      </c>
      <c r="BV89" s="33">
        <v>0</v>
      </c>
      <c r="BW89" s="33">
        <v>19.383333</v>
      </c>
      <c r="BX89" s="33">
        <v>19.383333333333333</v>
      </c>
      <c r="BY89" s="33">
        <v>14.477777777777778</v>
      </c>
      <c r="BZ89" s="33">
        <v>18.644444444444446</v>
      </c>
      <c r="CA89" s="33">
        <v>19.2</v>
      </c>
      <c r="CB89" s="33">
        <v>20</v>
      </c>
      <c r="CC89" s="33">
        <v>20.344444444444445</v>
      </c>
      <c r="CD89" s="33">
        <v>19.116666666666667</v>
      </c>
      <c r="CE89" s="33">
        <v>18.183333333333334</v>
      </c>
      <c r="CF89" s="33">
        <v>13.811111111111112</v>
      </c>
      <c r="CG89" s="33">
        <v>0</v>
      </c>
      <c r="CH89" s="33">
        <v>0</v>
      </c>
      <c r="CI89" s="33">
        <v>0</v>
      </c>
      <c r="CJ89" s="33">
        <v>0</v>
      </c>
      <c r="CK89" s="33">
        <v>111.78333333333333</v>
      </c>
      <c r="CL89" s="33">
        <v>31.994444444444447</v>
      </c>
      <c r="CM89" s="33">
        <v>0</v>
      </c>
      <c r="CN89" s="33">
        <v>163.16111111111113</v>
      </c>
      <c r="CO89" s="33">
        <v>143.77777777777777</v>
      </c>
      <c r="CP89" s="33">
        <v>163.16111111111113</v>
      </c>
      <c r="CQ89" s="33">
        <v>29.7222222222222</v>
      </c>
      <c r="CR89" s="33">
        <v>1.95</v>
      </c>
      <c r="CS89" s="33">
        <v>31.672222222222199</v>
      </c>
      <c r="CT89" s="33">
        <v>0</v>
      </c>
      <c r="CU89" s="33">
        <v>34</v>
      </c>
      <c r="CV89" s="32">
        <v>0</v>
      </c>
      <c r="CW89" s="32">
        <v>34</v>
      </c>
      <c r="CX89" s="32">
        <v>23</v>
      </c>
      <c r="CY89" s="32">
        <v>22</v>
      </c>
      <c r="CZ89" s="32">
        <v>22</v>
      </c>
      <c r="DA89" s="32">
        <v>23</v>
      </c>
      <c r="DB89" s="32">
        <v>22</v>
      </c>
      <c r="DC89" s="32">
        <v>16</v>
      </c>
      <c r="DD89" s="32">
        <v>0</v>
      </c>
      <c r="DE89" s="32">
        <v>0</v>
      </c>
      <c r="DF89" s="32">
        <v>0</v>
      </c>
      <c r="DG89" s="32">
        <v>0</v>
      </c>
      <c r="DH89" s="32">
        <v>0</v>
      </c>
      <c r="DI89" s="32">
        <v>0</v>
      </c>
      <c r="DJ89" s="32">
        <v>128</v>
      </c>
      <c r="DK89" s="32">
        <v>0</v>
      </c>
      <c r="DL89" s="32">
        <v>0</v>
      </c>
      <c r="DM89" s="32">
        <v>162</v>
      </c>
      <c r="DN89" s="32">
        <v>128</v>
      </c>
      <c r="DO89" s="32">
        <v>162</v>
      </c>
      <c r="DP89" s="32">
        <v>0</v>
      </c>
      <c r="DQ89" s="32">
        <v>43</v>
      </c>
      <c r="DR89" s="32">
        <v>24</v>
      </c>
      <c r="DS89" s="32">
        <v>0</v>
      </c>
      <c r="DT89" s="32">
        <v>24</v>
      </c>
      <c r="DU89" s="32">
        <v>6</v>
      </c>
      <c r="DV89" s="33">
        <v>13.450000000000001</v>
      </c>
      <c r="DW89" s="33">
        <v>12.450000000000001</v>
      </c>
      <c r="DX89" s="33">
        <v>10.55</v>
      </c>
      <c r="DY89" s="33">
        <v>0</v>
      </c>
      <c r="DZ89" s="33">
        <v>0</v>
      </c>
      <c r="EA89" s="33">
        <v>13.45</v>
      </c>
      <c r="EB89" s="34">
        <v>5.4722222222222172E-2</v>
      </c>
      <c r="EC89" s="32"/>
      <c r="ED89" s="32">
        <v>36</v>
      </c>
      <c r="EE89" s="32">
        <v>134</v>
      </c>
      <c r="EF89" s="32">
        <v>134</v>
      </c>
      <c r="EG89" s="32">
        <v>0</v>
      </c>
      <c r="EH89" s="32">
        <v>0</v>
      </c>
      <c r="EI89" s="32">
        <v>170</v>
      </c>
      <c r="EJ89" s="32">
        <v>0</v>
      </c>
      <c r="EK89" s="32">
        <v>26</v>
      </c>
      <c r="EL89" s="32">
        <v>26</v>
      </c>
      <c r="EM89" s="32">
        <v>26</v>
      </c>
      <c r="EN89" s="32">
        <v>0</v>
      </c>
      <c r="EO89" s="32">
        <v>0</v>
      </c>
      <c r="EP89" s="33">
        <v>7.8</v>
      </c>
      <c r="EQ89" s="33">
        <v>0</v>
      </c>
      <c r="ER89" s="33">
        <v>0.8</v>
      </c>
      <c r="ES89" s="33">
        <v>1.2</v>
      </c>
      <c r="ET89" s="33">
        <v>1.3</v>
      </c>
      <c r="EU89" s="33">
        <v>11.1</v>
      </c>
    </row>
    <row r="90" spans="1:151" x14ac:dyDescent="0.3">
      <c r="A90" s="25" t="s">
        <v>174</v>
      </c>
      <c r="B90" s="26" t="s">
        <v>399</v>
      </c>
      <c r="C90" s="27" t="s">
        <v>175</v>
      </c>
      <c r="D90" s="27" t="s">
        <v>272</v>
      </c>
      <c r="E90" s="26" t="s">
        <v>504</v>
      </c>
      <c r="F90" s="26" t="s">
        <v>504</v>
      </c>
      <c r="G90" s="28">
        <v>40.222222222222221</v>
      </c>
      <c r="H90" s="28">
        <v>9.7055555555555557</v>
      </c>
      <c r="I90" s="29">
        <v>47</v>
      </c>
      <c r="J90" s="29">
        <v>244</v>
      </c>
      <c r="K90" s="29">
        <v>0</v>
      </c>
      <c r="L90" s="29">
        <v>0</v>
      </c>
      <c r="M90" s="29">
        <v>291</v>
      </c>
      <c r="N90" s="29">
        <v>244</v>
      </c>
      <c r="O90" s="29">
        <v>291</v>
      </c>
      <c r="P90" s="29">
        <v>6</v>
      </c>
      <c r="Q90" s="27">
        <v>45.766666666666666</v>
      </c>
      <c r="R90" s="27">
        <v>37.894444444444446</v>
      </c>
      <c r="S90" s="27">
        <v>33.677777777777777</v>
      </c>
      <c r="T90" s="27">
        <v>44.494444444444447</v>
      </c>
      <c r="U90" s="27">
        <v>38.572222222222223</v>
      </c>
      <c r="V90" s="27">
        <v>32.216666666666669</v>
      </c>
      <c r="W90" s="27">
        <v>37.505555555555553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27">
        <v>224.36111111111111</v>
      </c>
      <c r="AE90" s="27">
        <v>0</v>
      </c>
      <c r="AF90" s="27">
        <v>0</v>
      </c>
      <c r="AG90" s="27">
        <v>270.12777777777779</v>
      </c>
      <c r="AH90" s="27">
        <v>224.36111111111111</v>
      </c>
      <c r="AI90" s="27">
        <v>270.12777777777779</v>
      </c>
      <c r="AJ90" s="28">
        <v>28.866666666666667</v>
      </c>
      <c r="AK90" s="28">
        <v>5.7388888888888889</v>
      </c>
      <c r="AL90" s="28">
        <v>34.605555555555554</v>
      </c>
      <c r="AM90" s="29">
        <v>33</v>
      </c>
      <c r="AN90" s="35">
        <v>51</v>
      </c>
      <c r="AO90" s="27">
        <v>32</v>
      </c>
      <c r="AP90" s="27">
        <v>33</v>
      </c>
      <c r="AQ90" s="27">
        <v>42</v>
      </c>
      <c r="AR90" s="27">
        <v>41</v>
      </c>
      <c r="AS90" s="27">
        <v>33</v>
      </c>
      <c r="AT90" s="27">
        <v>0</v>
      </c>
      <c r="AU90" s="27">
        <v>0</v>
      </c>
      <c r="AV90" s="27">
        <v>0</v>
      </c>
      <c r="AW90" s="27">
        <v>0</v>
      </c>
      <c r="AX90" s="27">
        <v>0</v>
      </c>
      <c r="AY90" s="27">
        <v>0</v>
      </c>
      <c r="AZ90" s="27">
        <v>232</v>
      </c>
      <c r="BA90" s="27">
        <v>0</v>
      </c>
      <c r="BB90" s="27">
        <v>0</v>
      </c>
      <c r="BC90" s="27">
        <v>265</v>
      </c>
      <c r="BD90" s="27">
        <v>232</v>
      </c>
      <c r="BE90" s="27">
        <v>265</v>
      </c>
      <c r="BF90" s="27">
        <v>33</v>
      </c>
      <c r="BG90" s="27">
        <v>0</v>
      </c>
      <c r="BH90" s="27">
        <v>0</v>
      </c>
      <c r="BI90" s="27">
        <v>114</v>
      </c>
      <c r="BJ90" s="27">
        <v>24</v>
      </c>
      <c r="BK90" s="29">
        <v>4</v>
      </c>
      <c r="BL90" s="29">
        <v>28</v>
      </c>
      <c r="BM90" s="29">
        <v>67</v>
      </c>
      <c r="BN90" s="30">
        <v>7.0833333333333359E-2</v>
      </c>
      <c r="BO90" s="31">
        <v>21</v>
      </c>
      <c r="BP90" s="31">
        <v>19</v>
      </c>
      <c r="BQ90" s="31">
        <v>19</v>
      </c>
      <c r="BR90" s="31">
        <v>21</v>
      </c>
      <c r="BS90" s="32">
        <v>0</v>
      </c>
      <c r="BT90" s="32">
        <v>0</v>
      </c>
      <c r="BU90" s="33">
        <v>0</v>
      </c>
      <c r="BV90" s="33">
        <v>0</v>
      </c>
      <c r="BW90" s="33">
        <v>32.577776999999998</v>
      </c>
      <c r="BX90" s="33">
        <v>32.577777777777776</v>
      </c>
      <c r="BY90" s="33">
        <v>49.911111111111111</v>
      </c>
      <c r="BZ90" s="33">
        <v>32.761111111111113</v>
      </c>
      <c r="CA90" s="33">
        <v>27.627777777777776</v>
      </c>
      <c r="CB90" s="33">
        <v>41.488888888888887</v>
      </c>
      <c r="CC90" s="33">
        <v>38.927777777777777</v>
      </c>
      <c r="CD90" s="33">
        <v>32.43333333333333</v>
      </c>
      <c r="CE90" s="33">
        <v>0</v>
      </c>
      <c r="CF90" s="33">
        <v>0</v>
      </c>
      <c r="CG90" s="33">
        <v>0</v>
      </c>
      <c r="CH90" s="33">
        <v>0</v>
      </c>
      <c r="CI90" s="33">
        <v>0</v>
      </c>
      <c r="CJ90" s="33">
        <v>0</v>
      </c>
      <c r="CK90" s="33">
        <v>223.15</v>
      </c>
      <c r="CL90" s="33">
        <v>0</v>
      </c>
      <c r="CM90" s="33">
        <v>0</v>
      </c>
      <c r="CN90" s="33">
        <v>255.72777777777776</v>
      </c>
      <c r="CO90" s="33">
        <v>223.15</v>
      </c>
      <c r="CP90" s="33">
        <v>255.72777777777776</v>
      </c>
      <c r="CQ90" s="33">
        <v>31.05</v>
      </c>
      <c r="CR90" s="33">
        <v>3.4777777777777801</v>
      </c>
      <c r="CS90" s="33">
        <v>34.527777777777779</v>
      </c>
      <c r="CT90" s="33">
        <v>0</v>
      </c>
      <c r="CU90" s="33">
        <v>35</v>
      </c>
      <c r="CV90" s="32">
        <v>0</v>
      </c>
      <c r="CW90" s="32">
        <v>35</v>
      </c>
      <c r="CX90" s="32">
        <v>33</v>
      </c>
      <c r="CY90" s="32">
        <v>44</v>
      </c>
      <c r="CZ90" s="32">
        <v>41</v>
      </c>
      <c r="DA90" s="32">
        <v>28</v>
      </c>
      <c r="DB90" s="32">
        <v>43</v>
      </c>
      <c r="DC90" s="32">
        <v>33</v>
      </c>
      <c r="DD90" s="32">
        <v>0</v>
      </c>
      <c r="DE90" s="32">
        <v>0</v>
      </c>
      <c r="DF90" s="32">
        <v>0</v>
      </c>
      <c r="DG90" s="32">
        <v>0</v>
      </c>
      <c r="DH90" s="32">
        <v>0</v>
      </c>
      <c r="DI90" s="32">
        <v>0</v>
      </c>
      <c r="DJ90" s="32">
        <v>222</v>
      </c>
      <c r="DK90" s="32">
        <v>0</v>
      </c>
      <c r="DL90" s="32">
        <v>0</v>
      </c>
      <c r="DM90" s="32">
        <v>257</v>
      </c>
      <c r="DN90" s="32">
        <v>222</v>
      </c>
      <c r="DO90" s="32">
        <v>257</v>
      </c>
      <c r="DP90" s="32">
        <v>0</v>
      </c>
      <c r="DQ90" s="32">
        <v>79</v>
      </c>
      <c r="DR90" s="32">
        <v>30</v>
      </c>
      <c r="DS90" s="32">
        <v>3</v>
      </c>
      <c r="DT90" s="32">
        <v>33</v>
      </c>
      <c r="DU90" s="32">
        <v>96</v>
      </c>
      <c r="DV90" s="33">
        <v>19.600000000000001</v>
      </c>
      <c r="DW90" s="33">
        <v>17.600000000000001</v>
      </c>
      <c r="DX90" s="33">
        <v>16.600000000000001</v>
      </c>
      <c r="DY90" s="33">
        <v>0</v>
      </c>
      <c r="DZ90" s="33">
        <v>0</v>
      </c>
      <c r="EA90" s="33">
        <v>20.6</v>
      </c>
      <c r="EB90" s="34">
        <v>7.678571428571429E-2</v>
      </c>
      <c r="EC90" s="32"/>
      <c r="ED90" s="32">
        <v>34</v>
      </c>
      <c r="EE90" s="32">
        <v>222</v>
      </c>
      <c r="EF90" s="32">
        <v>222</v>
      </c>
      <c r="EG90" s="32">
        <v>0</v>
      </c>
      <c r="EH90" s="32">
        <v>0</v>
      </c>
      <c r="EI90" s="32">
        <v>256</v>
      </c>
      <c r="EJ90" s="32">
        <v>0</v>
      </c>
      <c r="EK90" s="32">
        <v>34</v>
      </c>
      <c r="EL90" s="32">
        <v>34</v>
      </c>
      <c r="EM90" s="32">
        <v>32</v>
      </c>
      <c r="EN90" s="32">
        <v>2</v>
      </c>
      <c r="EO90" s="32">
        <v>3</v>
      </c>
      <c r="EP90" s="33">
        <v>6.2</v>
      </c>
      <c r="EQ90" s="33">
        <v>0</v>
      </c>
      <c r="ER90" s="33">
        <v>1.6</v>
      </c>
      <c r="ES90" s="33">
        <v>0</v>
      </c>
      <c r="ET90" s="33">
        <v>5</v>
      </c>
      <c r="EU90" s="33">
        <v>12.8</v>
      </c>
    </row>
    <row r="91" spans="1:151" ht="41.4" x14ac:dyDescent="0.3">
      <c r="A91" s="25" t="s">
        <v>188</v>
      </c>
      <c r="B91" s="26" t="s">
        <v>410</v>
      </c>
      <c r="C91" s="27" t="s">
        <v>189</v>
      </c>
      <c r="D91" s="27" t="s">
        <v>272</v>
      </c>
      <c r="E91" s="26" t="s">
        <v>504</v>
      </c>
      <c r="F91" s="26" t="s">
        <v>504</v>
      </c>
      <c r="G91" s="28">
        <v>92.911111111111111</v>
      </c>
      <c r="H91" s="28">
        <v>8.5333333333333332</v>
      </c>
      <c r="I91" s="29">
        <v>150</v>
      </c>
      <c r="J91" s="29">
        <v>715</v>
      </c>
      <c r="K91" s="29">
        <v>0</v>
      </c>
      <c r="L91" s="29">
        <v>0</v>
      </c>
      <c r="M91" s="29">
        <v>865</v>
      </c>
      <c r="N91" s="29">
        <v>715</v>
      </c>
      <c r="O91" s="29">
        <v>865</v>
      </c>
      <c r="P91" s="29">
        <v>8</v>
      </c>
      <c r="Q91" s="27">
        <v>147.96666666666667</v>
      </c>
      <c r="R91" s="27">
        <v>139.63333333333333</v>
      </c>
      <c r="S91" s="27">
        <v>123.3</v>
      </c>
      <c r="T91" s="27">
        <v>130.79444444444445</v>
      </c>
      <c r="U91" s="27">
        <v>106.46666666666667</v>
      </c>
      <c r="V91" s="27">
        <v>122.54444444444445</v>
      </c>
      <c r="W91" s="27">
        <v>82.62777777777778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705.36666666666667</v>
      </c>
      <c r="AE91" s="27">
        <v>0</v>
      </c>
      <c r="AF91" s="27">
        <v>0</v>
      </c>
      <c r="AG91" s="27">
        <v>853.33333333333337</v>
      </c>
      <c r="AH91" s="27">
        <v>705.36666666666667</v>
      </c>
      <c r="AI91" s="27">
        <v>853.33333333333337</v>
      </c>
      <c r="AJ91" s="28">
        <v>95.37222222222222</v>
      </c>
      <c r="AK91" s="28">
        <v>9.0777777777777775</v>
      </c>
      <c r="AL91" s="28">
        <v>104.45</v>
      </c>
      <c r="AM91" s="29">
        <v>128</v>
      </c>
      <c r="AN91" s="35">
        <v>151</v>
      </c>
      <c r="AO91" s="27">
        <v>137</v>
      </c>
      <c r="AP91" s="27">
        <v>121</v>
      </c>
      <c r="AQ91" s="27">
        <v>131</v>
      </c>
      <c r="AR91" s="27">
        <v>112</v>
      </c>
      <c r="AS91" s="27">
        <v>118</v>
      </c>
      <c r="AT91" s="27">
        <v>0</v>
      </c>
      <c r="AU91" s="27">
        <v>0</v>
      </c>
      <c r="AV91" s="27">
        <v>0</v>
      </c>
      <c r="AW91" s="27">
        <v>0</v>
      </c>
      <c r="AX91" s="27">
        <v>0</v>
      </c>
      <c r="AY91" s="27">
        <v>0</v>
      </c>
      <c r="AZ91" s="27">
        <v>770</v>
      </c>
      <c r="BA91" s="27">
        <v>0</v>
      </c>
      <c r="BB91" s="27">
        <v>0</v>
      </c>
      <c r="BC91" s="27">
        <v>898</v>
      </c>
      <c r="BD91" s="27">
        <v>770</v>
      </c>
      <c r="BE91" s="27">
        <v>898</v>
      </c>
      <c r="BF91" s="27">
        <v>51</v>
      </c>
      <c r="BG91" s="27">
        <v>77</v>
      </c>
      <c r="BH91" s="27">
        <v>0</v>
      </c>
      <c r="BI91" s="27">
        <v>357</v>
      </c>
      <c r="BJ91" s="27">
        <v>102</v>
      </c>
      <c r="BK91" s="29">
        <v>12</v>
      </c>
      <c r="BL91" s="29">
        <v>114</v>
      </c>
      <c r="BM91" s="29">
        <v>65</v>
      </c>
      <c r="BN91" s="30">
        <v>6.3278230403470248E-2</v>
      </c>
      <c r="BO91" s="31">
        <v>52.651000000000003</v>
      </c>
      <c r="BP91" s="31">
        <v>48.901000000000003</v>
      </c>
      <c r="BQ91" s="31">
        <v>47.876000000000005</v>
      </c>
      <c r="BR91" s="31">
        <v>52.651000000000003</v>
      </c>
      <c r="BS91" s="32">
        <v>0</v>
      </c>
      <c r="BT91" s="32">
        <v>0</v>
      </c>
      <c r="BU91" s="33">
        <v>0</v>
      </c>
      <c r="BV91" s="33">
        <v>23.35</v>
      </c>
      <c r="BW91" s="33">
        <v>100.983333</v>
      </c>
      <c r="BX91" s="33">
        <v>124.33333333333333</v>
      </c>
      <c r="BY91" s="33">
        <v>145.41666666666666</v>
      </c>
      <c r="BZ91" s="33">
        <v>134.42777777777778</v>
      </c>
      <c r="CA91" s="33">
        <v>118.72777777777777</v>
      </c>
      <c r="CB91" s="33">
        <v>128.11111111111111</v>
      </c>
      <c r="CC91" s="33">
        <v>103.63333333333334</v>
      </c>
      <c r="CD91" s="33">
        <v>114.59444444444445</v>
      </c>
      <c r="CE91" s="33">
        <v>0</v>
      </c>
      <c r="CF91" s="33">
        <v>0</v>
      </c>
      <c r="CG91" s="33">
        <v>0</v>
      </c>
      <c r="CH91" s="33">
        <v>0</v>
      </c>
      <c r="CI91" s="33">
        <v>0</v>
      </c>
      <c r="CJ91" s="33">
        <v>0</v>
      </c>
      <c r="CK91" s="33">
        <v>744.91111111111104</v>
      </c>
      <c r="CL91" s="33">
        <v>0</v>
      </c>
      <c r="CM91" s="33">
        <v>0</v>
      </c>
      <c r="CN91" s="33">
        <v>869.24444444444441</v>
      </c>
      <c r="CO91" s="33">
        <v>744.91111111111104</v>
      </c>
      <c r="CP91" s="33">
        <v>869.24444444444441</v>
      </c>
      <c r="CQ91" s="33">
        <v>104.37222222222201</v>
      </c>
      <c r="CR91" s="33">
        <v>14.327777777777801</v>
      </c>
      <c r="CS91" s="33">
        <v>118.6999999999998</v>
      </c>
      <c r="CT91" s="33">
        <v>0</v>
      </c>
      <c r="CU91" s="33">
        <v>158</v>
      </c>
      <c r="CV91" s="32">
        <v>6</v>
      </c>
      <c r="CW91" s="32">
        <v>164</v>
      </c>
      <c r="CX91" s="32">
        <v>136</v>
      </c>
      <c r="CY91" s="32">
        <v>149</v>
      </c>
      <c r="CZ91" s="32">
        <v>132</v>
      </c>
      <c r="DA91" s="32">
        <v>114</v>
      </c>
      <c r="DB91" s="32">
        <v>118</v>
      </c>
      <c r="DC91" s="32">
        <v>94</v>
      </c>
      <c r="DD91" s="32">
        <v>0</v>
      </c>
      <c r="DE91" s="32">
        <v>0</v>
      </c>
      <c r="DF91" s="32">
        <v>0</v>
      </c>
      <c r="DG91" s="32">
        <v>0</v>
      </c>
      <c r="DH91" s="32">
        <v>0</v>
      </c>
      <c r="DI91" s="32">
        <v>0</v>
      </c>
      <c r="DJ91" s="32">
        <v>743</v>
      </c>
      <c r="DK91" s="32">
        <v>0</v>
      </c>
      <c r="DL91" s="32">
        <v>0</v>
      </c>
      <c r="DM91" s="32">
        <v>907</v>
      </c>
      <c r="DN91" s="32">
        <v>743</v>
      </c>
      <c r="DO91" s="32">
        <v>907</v>
      </c>
      <c r="DP91" s="32">
        <v>0</v>
      </c>
      <c r="DQ91" s="32">
        <v>300</v>
      </c>
      <c r="DR91" s="32">
        <v>112</v>
      </c>
      <c r="DS91" s="32">
        <v>13</v>
      </c>
      <c r="DT91" s="32">
        <v>125</v>
      </c>
      <c r="DU91" s="32">
        <v>75</v>
      </c>
      <c r="DV91" s="33">
        <v>54.937000000000005</v>
      </c>
      <c r="DW91" s="33">
        <v>51.187000000000005</v>
      </c>
      <c r="DX91" s="33">
        <v>42.962000000000003</v>
      </c>
      <c r="DY91" s="33">
        <v>0</v>
      </c>
      <c r="DZ91" s="33">
        <v>0</v>
      </c>
      <c r="EA91" s="33">
        <v>55.687000000000005</v>
      </c>
      <c r="EB91" s="34">
        <v>5.9746258905899463E-2</v>
      </c>
      <c r="EC91" s="32"/>
      <c r="ED91" s="32">
        <v>139</v>
      </c>
      <c r="EE91" s="32">
        <v>766</v>
      </c>
      <c r="EF91" s="32">
        <v>766</v>
      </c>
      <c r="EG91" s="32">
        <v>0</v>
      </c>
      <c r="EH91" s="32">
        <v>0</v>
      </c>
      <c r="EI91" s="32">
        <v>905</v>
      </c>
      <c r="EJ91" s="32">
        <v>0</v>
      </c>
      <c r="EK91" s="32">
        <v>123</v>
      </c>
      <c r="EL91" s="32">
        <v>123</v>
      </c>
      <c r="EM91" s="32">
        <v>111</v>
      </c>
      <c r="EN91" s="32">
        <v>12</v>
      </c>
      <c r="EO91" s="32">
        <v>21</v>
      </c>
      <c r="EP91" s="33">
        <v>45.838000000000001</v>
      </c>
      <c r="EQ91" s="33">
        <v>0.83799999999999997</v>
      </c>
      <c r="ER91" s="33">
        <v>7</v>
      </c>
      <c r="ES91" s="33">
        <v>1.48</v>
      </c>
      <c r="ET91" s="33">
        <v>10.113</v>
      </c>
      <c r="EU91" s="33">
        <v>65.269000000000005</v>
      </c>
    </row>
    <row r="92" spans="1:151" ht="41.4" x14ac:dyDescent="0.3">
      <c r="A92" s="25" t="s">
        <v>201</v>
      </c>
      <c r="B92" s="26" t="s">
        <v>422</v>
      </c>
      <c r="C92" s="27" t="s">
        <v>202</v>
      </c>
      <c r="D92" s="27" t="s">
        <v>272</v>
      </c>
      <c r="E92" s="26" t="s">
        <v>504</v>
      </c>
      <c r="F92" s="26" t="s">
        <v>504</v>
      </c>
      <c r="G92" s="28">
        <v>49.31666666666667</v>
      </c>
      <c r="H92" s="28">
        <v>5.0611111111111109</v>
      </c>
      <c r="I92" s="29">
        <v>46</v>
      </c>
      <c r="J92" s="29">
        <v>170</v>
      </c>
      <c r="K92" s="29">
        <v>11</v>
      </c>
      <c r="L92" s="29">
        <v>0</v>
      </c>
      <c r="M92" s="29">
        <v>227</v>
      </c>
      <c r="N92" s="29">
        <v>181</v>
      </c>
      <c r="O92" s="29">
        <v>227</v>
      </c>
      <c r="P92" s="29">
        <v>4</v>
      </c>
      <c r="Q92" s="27">
        <v>45.305555555555557</v>
      </c>
      <c r="R92" s="27">
        <v>37.427777777777777</v>
      </c>
      <c r="S92" s="27">
        <v>35.755555555555553</v>
      </c>
      <c r="T92" s="27">
        <v>26.516666666666666</v>
      </c>
      <c r="U92" s="27">
        <v>24.905555555555555</v>
      </c>
      <c r="V92" s="27">
        <v>22.577777777777779</v>
      </c>
      <c r="W92" s="27">
        <v>18.844444444444445</v>
      </c>
      <c r="X92" s="27">
        <v>10.883333333333333</v>
      </c>
      <c r="Y92" s="27">
        <v>0</v>
      </c>
      <c r="Z92" s="27">
        <v>0</v>
      </c>
      <c r="AA92" s="27">
        <v>0</v>
      </c>
      <c r="AB92" s="27">
        <v>0</v>
      </c>
      <c r="AC92" s="27">
        <v>0</v>
      </c>
      <c r="AD92" s="27">
        <v>166.02777777777777</v>
      </c>
      <c r="AE92" s="27">
        <v>10.883333333333333</v>
      </c>
      <c r="AF92" s="27">
        <v>0</v>
      </c>
      <c r="AG92" s="27">
        <v>222.21666666666664</v>
      </c>
      <c r="AH92" s="27">
        <v>176.9111111111111</v>
      </c>
      <c r="AI92" s="27">
        <v>222.21666666666664</v>
      </c>
      <c r="AJ92" s="28">
        <v>47.1</v>
      </c>
      <c r="AK92" s="28">
        <v>4</v>
      </c>
      <c r="AL92" s="28">
        <v>51.1</v>
      </c>
      <c r="AM92" s="29">
        <v>41</v>
      </c>
      <c r="AN92" s="35">
        <v>38</v>
      </c>
      <c r="AO92" s="27">
        <v>38</v>
      </c>
      <c r="AP92" s="27">
        <v>35</v>
      </c>
      <c r="AQ92" s="27">
        <v>23</v>
      </c>
      <c r="AR92" s="27">
        <v>21</v>
      </c>
      <c r="AS92" s="27">
        <v>19</v>
      </c>
      <c r="AT92" s="27">
        <v>17</v>
      </c>
      <c r="AU92" s="27">
        <v>0</v>
      </c>
      <c r="AV92" s="27">
        <v>0</v>
      </c>
      <c r="AW92" s="27">
        <v>0</v>
      </c>
      <c r="AX92" s="27">
        <v>0</v>
      </c>
      <c r="AY92" s="27">
        <v>0</v>
      </c>
      <c r="AZ92" s="27">
        <v>174</v>
      </c>
      <c r="BA92" s="27">
        <v>17</v>
      </c>
      <c r="BB92" s="27">
        <v>0</v>
      </c>
      <c r="BC92" s="27">
        <v>232</v>
      </c>
      <c r="BD92" s="27">
        <v>191</v>
      </c>
      <c r="BE92" s="27">
        <v>232</v>
      </c>
      <c r="BF92" s="27">
        <v>41</v>
      </c>
      <c r="BG92" s="27">
        <v>0</v>
      </c>
      <c r="BH92" s="27">
        <v>0</v>
      </c>
      <c r="BI92" s="27">
        <v>129</v>
      </c>
      <c r="BJ92" s="27">
        <v>45</v>
      </c>
      <c r="BK92" s="29">
        <v>4</v>
      </c>
      <c r="BL92" s="29">
        <v>49</v>
      </c>
      <c r="BM92" s="29">
        <v>10</v>
      </c>
      <c r="BN92" s="30">
        <v>5.6730769230769251E-2</v>
      </c>
      <c r="BO92" s="31">
        <v>14.935</v>
      </c>
      <c r="BP92" s="31">
        <v>13.935</v>
      </c>
      <c r="BQ92" s="31">
        <v>13.935</v>
      </c>
      <c r="BR92" s="31">
        <v>14.935</v>
      </c>
      <c r="BS92" s="32">
        <v>0</v>
      </c>
      <c r="BT92" s="32">
        <v>0</v>
      </c>
      <c r="BU92" s="33">
        <v>0</v>
      </c>
      <c r="BV92" s="33">
        <v>0</v>
      </c>
      <c r="BW92" s="33">
        <v>38.772221999999999</v>
      </c>
      <c r="BX92" s="33">
        <v>38.772222222222226</v>
      </c>
      <c r="BY92" s="33">
        <v>34.161111111111111</v>
      </c>
      <c r="BZ92" s="33">
        <v>32.783333333333331</v>
      </c>
      <c r="CA92" s="33">
        <v>30.394444444444446</v>
      </c>
      <c r="CB92" s="33">
        <v>21.283333333333335</v>
      </c>
      <c r="CC92" s="33">
        <v>17.75</v>
      </c>
      <c r="CD92" s="33">
        <v>18.433333333333334</v>
      </c>
      <c r="CE92" s="33">
        <v>17.31111111111111</v>
      </c>
      <c r="CF92" s="33">
        <v>0</v>
      </c>
      <c r="CG92" s="33">
        <v>0</v>
      </c>
      <c r="CH92" s="33">
        <v>0</v>
      </c>
      <c r="CI92" s="33">
        <v>0</v>
      </c>
      <c r="CJ92" s="33">
        <v>0</v>
      </c>
      <c r="CK92" s="33">
        <v>154.80555555555554</v>
      </c>
      <c r="CL92" s="33">
        <v>17.31111111111111</v>
      </c>
      <c r="CM92" s="33">
        <v>0</v>
      </c>
      <c r="CN92" s="33">
        <v>210.88888888888889</v>
      </c>
      <c r="CO92" s="33">
        <v>172.11666666666665</v>
      </c>
      <c r="CP92" s="33">
        <v>210.88888888888889</v>
      </c>
      <c r="CQ92" s="33">
        <v>48.4444444444444</v>
      </c>
      <c r="CR92" s="33">
        <v>4.8333333333333304</v>
      </c>
      <c r="CS92" s="33">
        <v>53.277777777777729</v>
      </c>
      <c r="CT92" s="33">
        <v>0</v>
      </c>
      <c r="CU92" s="33">
        <v>47</v>
      </c>
      <c r="CV92" s="32">
        <v>0</v>
      </c>
      <c r="CW92" s="32">
        <v>47</v>
      </c>
      <c r="CX92" s="32">
        <v>31</v>
      </c>
      <c r="CY92" s="32">
        <v>34</v>
      </c>
      <c r="CZ92" s="32">
        <v>31</v>
      </c>
      <c r="DA92" s="32">
        <v>22</v>
      </c>
      <c r="DB92" s="32">
        <v>17</v>
      </c>
      <c r="DC92" s="32">
        <v>15</v>
      </c>
      <c r="DD92" s="32">
        <v>13</v>
      </c>
      <c r="DE92" s="32">
        <v>0</v>
      </c>
      <c r="DF92" s="32">
        <v>0</v>
      </c>
      <c r="DG92" s="32">
        <v>0</v>
      </c>
      <c r="DH92" s="32">
        <v>0</v>
      </c>
      <c r="DI92" s="32">
        <v>0</v>
      </c>
      <c r="DJ92" s="32">
        <v>150</v>
      </c>
      <c r="DK92" s="32">
        <v>13</v>
      </c>
      <c r="DL92" s="32">
        <v>0</v>
      </c>
      <c r="DM92" s="32">
        <v>210</v>
      </c>
      <c r="DN92" s="32">
        <v>163</v>
      </c>
      <c r="DO92" s="32">
        <v>210</v>
      </c>
      <c r="DP92" s="32">
        <v>0</v>
      </c>
      <c r="DQ92" s="32">
        <v>99</v>
      </c>
      <c r="DR92" s="32">
        <v>41</v>
      </c>
      <c r="DS92" s="32">
        <v>5</v>
      </c>
      <c r="DT92" s="32">
        <v>46</v>
      </c>
      <c r="DU92" s="32">
        <v>6</v>
      </c>
      <c r="DV92" s="33">
        <v>15</v>
      </c>
      <c r="DW92" s="33">
        <v>15</v>
      </c>
      <c r="DX92" s="33">
        <v>13</v>
      </c>
      <c r="DY92" s="33">
        <v>1</v>
      </c>
      <c r="DZ92" s="33">
        <v>0</v>
      </c>
      <c r="EA92" s="33">
        <v>17.100000000000001</v>
      </c>
      <c r="EB92" s="34">
        <v>5.7954545454545481E-2</v>
      </c>
      <c r="EC92" s="32"/>
      <c r="ED92" s="32">
        <v>41</v>
      </c>
      <c r="EE92" s="32">
        <v>169</v>
      </c>
      <c r="EF92" s="32">
        <v>159</v>
      </c>
      <c r="EG92" s="32">
        <v>10</v>
      </c>
      <c r="EH92" s="32">
        <v>0</v>
      </c>
      <c r="EI92" s="32">
        <v>210</v>
      </c>
      <c r="EJ92" s="32">
        <v>0</v>
      </c>
      <c r="EK92" s="32">
        <v>50</v>
      </c>
      <c r="EL92" s="32">
        <v>50</v>
      </c>
      <c r="EM92" s="32">
        <v>45</v>
      </c>
      <c r="EN92" s="32">
        <v>5</v>
      </c>
      <c r="EO92" s="32">
        <v>0</v>
      </c>
      <c r="EP92" s="33">
        <v>15.32</v>
      </c>
      <c r="EQ92" s="33">
        <v>1</v>
      </c>
      <c r="ER92" s="33">
        <v>1</v>
      </c>
      <c r="ES92" s="33">
        <v>0</v>
      </c>
      <c r="ET92" s="33">
        <v>3</v>
      </c>
      <c r="EU92" s="33">
        <v>20.32</v>
      </c>
    </row>
    <row r="93" spans="1:151" ht="27.6" x14ac:dyDescent="0.3">
      <c r="A93" s="25" t="s">
        <v>217</v>
      </c>
      <c r="B93" s="26" t="s">
        <v>433</v>
      </c>
      <c r="C93" s="27" t="s">
        <v>218</v>
      </c>
      <c r="D93" s="27" t="s">
        <v>272</v>
      </c>
      <c r="E93" s="26" t="s">
        <v>504</v>
      </c>
      <c r="F93" s="26" t="s">
        <v>504</v>
      </c>
      <c r="G93" s="28">
        <v>60.866666666666667</v>
      </c>
      <c r="H93" s="28">
        <v>0.97777777777777775</v>
      </c>
      <c r="I93" s="29">
        <v>0</v>
      </c>
      <c r="J93" s="29">
        <v>0</v>
      </c>
      <c r="K93" s="29">
        <v>0</v>
      </c>
      <c r="L93" s="29">
        <v>214</v>
      </c>
      <c r="M93" s="29">
        <v>214</v>
      </c>
      <c r="N93" s="29">
        <v>214</v>
      </c>
      <c r="O93" s="29">
        <v>0</v>
      </c>
      <c r="P93" s="29">
        <v>1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38.405555555555559</v>
      </c>
      <c r="AA93" s="27">
        <v>55.761111111111113</v>
      </c>
      <c r="AB93" s="27">
        <v>49.966666666666669</v>
      </c>
      <c r="AC93" s="27">
        <v>58.427777777777777</v>
      </c>
      <c r="AD93" s="27">
        <v>0</v>
      </c>
      <c r="AE93" s="27">
        <v>0</v>
      </c>
      <c r="AF93" s="27">
        <v>202.5611111111111</v>
      </c>
      <c r="AG93" s="27">
        <v>0</v>
      </c>
      <c r="AH93" s="27">
        <v>202.5611111111111</v>
      </c>
      <c r="AI93" s="27">
        <v>202.5611111111111</v>
      </c>
      <c r="AJ93" s="28">
        <v>62.016666666666666</v>
      </c>
      <c r="AK93" s="28">
        <v>0</v>
      </c>
      <c r="AL93" s="28">
        <v>62.016666666666666</v>
      </c>
      <c r="AM93" s="29">
        <v>0</v>
      </c>
      <c r="AN93" s="35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36</v>
      </c>
      <c r="AW93" s="27">
        <v>59</v>
      </c>
      <c r="AX93" s="27">
        <v>69</v>
      </c>
      <c r="AY93" s="27">
        <v>51</v>
      </c>
      <c r="AZ93" s="27">
        <v>0</v>
      </c>
      <c r="BA93" s="27">
        <v>0</v>
      </c>
      <c r="BB93" s="27">
        <v>215</v>
      </c>
      <c r="BC93" s="27">
        <v>0</v>
      </c>
      <c r="BD93" s="27">
        <v>215</v>
      </c>
      <c r="BE93" s="27">
        <v>215</v>
      </c>
      <c r="BF93" s="27">
        <v>0</v>
      </c>
      <c r="BG93" s="27">
        <v>0</v>
      </c>
      <c r="BH93" s="27">
        <v>0</v>
      </c>
      <c r="BI93" s="27">
        <v>137</v>
      </c>
      <c r="BJ93" s="27">
        <v>66</v>
      </c>
      <c r="BK93" s="29">
        <v>0</v>
      </c>
      <c r="BL93" s="29">
        <v>66</v>
      </c>
      <c r="BM93" s="29">
        <v>17</v>
      </c>
      <c r="BN93" s="30">
        <v>5.2469358327325133E-2</v>
      </c>
      <c r="BO93" s="31">
        <v>12.3</v>
      </c>
      <c r="BP93" s="31">
        <v>12.3</v>
      </c>
      <c r="BQ93" s="31">
        <v>12.3</v>
      </c>
      <c r="BR93" s="31">
        <v>14.3</v>
      </c>
      <c r="BS93" s="32">
        <v>0</v>
      </c>
      <c r="BT93" s="32">
        <v>0</v>
      </c>
      <c r="BU93" s="33">
        <v>0</v>
      </c>
      <c r="BV93" s="33">
        <v>0</v>
      </c>
      <c r="BW93" s="33">
        <v>0</v>
      </c>
      <c r="BX93" s="33">
        <v>0</v>
      </c>
      <c r="BY93" s="33">
        <v>0</v>
      </c>
      <c r="BZ93" s="33">
        <v>0</v>
      </c>
      <c r="CA93" s="33">
        <v>0</v>
      </c>
      <c r="CB93" s="33">
        <v>0</v>
      </c>
      <c r="CC93" s="33">
        <v>0</v>
      </c>
      <c r="CD93" s="33">
        <v>0</v>
      </c>
      <c r="CE93" s="33">
        <v>0</v>
      </c>
      <c r="CF93" s="33">
        <v>0</v>
      </c>
      <c r="CG93" s="33">
        <v>36.116666666666667</v>
      </c>
      <c r="CH93" s="33">
        <v>56.555555555555557</v>
      </c>
      <c r="CI93" s="33">
        <v>65.838888888888889</v>
      </c>
      <c r="CJ93" s="33">
        <v>48.005555555555553</v>
      </c>
      <c r="CK93" s="33">
        <v>0</v>
      </c>
      <c r="CL93" s="33">
        <v>0</v>
      </c>
      <c r="CM93" s="33">
        <v>206.51666666666668</v>
      </c>
      <c r="CN93" s="33">
        <v>0</v>
      </c>
      <c r="CO93" s="33">
        <v>206.51666666666668</v>
      </c>
      <c r="CP93" s="33">
        <v>206.51666666666668</v>
      </c>
      <c r="CQ93" s="33">
        <v>58.95</v>
      </c>
      <c r="CR93" s="33">
        <v>0</v>
      </c>
      <c r="CS93" s="33">
        <v>58.95</v>
      </c>
      <c r="CT93" s="33">
        <v>0</v>
      </c>
      <c r="CU93" s="33">
        <v>0</v>
      </c>
      <c r="CV93" s="32">
        <v>0</v>
      </c>
      <c r="CW93" s="32">
        <v>0</v>
      </c>
      <c r="CX93" s="32">
        <v>0</v>
      </c>
      <c r="CY93" s="32">
        <v>0</v>
      </c>
      <c r="CZ93" s="32">
        <v>0</v>
      </c>
      <c r="DA93" s="32">
        <v>0</v>
      </c>
      <c r="DB93" s="32">
        <v>0</v>
      </c>
      <c r="DC93" s="32">
        <v>0</v>
      </c>
      <c r="DD93" s="32">
        <v>0</v>
      </c>
      <c r="DE93" s="32">
        <v>0</v>
      </c>
      <c r="DF93" s="32">
        <v>34</v>
      </c>
      <c r="DG93" s="32">
        <v>63</v>
      </c>
      <c r="DH93" s="32">
        <v>67</v>
      </c>
      <c r="DI93" s="32">
        <v>60</v>
      </c>
      <c r="DJ93" s="32">
        <v>0</v>
      </c>
      <c r="DK93" s="32">
        <v>0</v>
      </c>
      <c r="DL93" s="32">
        <v>224</v>
      </c>
      <c r="DM93" s="32">
        <v>0</v>
      </c>
      <c r="DN93" s="32">
        <v>224</v>
      </c>
      <c r="DO93" s="32">
        <v>224</v>
      </c>
      <c r="DP93" s="32">
        <v>0</v>
      </c>
      <c r="DQ93" s="32">
        <v>140</v>
      </c>
      <c r="DR93" s="32">
        <v>54</v>
      </c>
      <c r="DS93" s="32">
        <v>0</v>
      </c>
      <c r="DT93" s="32">
        <v>54</v>
      </c>
      <c r="DU93" s="32">
        <v>43</v>
      </c>
      <c r="DV93" s="33">
        <v>13</v>
      </c>
      <c r="DW93" s="33">
        <v>13</v>
      </c>
      <c r="DX93" s="33">
        <v>0</v>
      </c>
      <c r="DY93" s="33">
        <v>10.83</v>
      </c>
      <c r="DZ93" s="33">
        <v>0</v>
      </c>
      <c r="EA93" s="33">
        <v>16.5</v>
      </c>
      <c r="EB93" s="34">
        <v>6.6513761467889898E-2</v>
      </c>
      <c r="EC93" s="32"/>
      <c r="ED93" s="32">
        <v>0</v>
      </c>
      <c r="EE93" s="32">
        <v>223</v>
      </c>
      <c r="EF93" s="32">
        <v>0</v>
      </c>
      <c r="EG93" s="32">
        <v>0</v>
      </c>
      <c r="EH93" s="32">
        <v>223</v>
      </c>
      <c r="EI93" s="32">
        <v>223</v>
      </c>
      <c r="EJ93" s="32">
        <v>0</v>
      </c>
      <c r="EK93" s="32">
        <v>61</v>
      </c>
      <c r="EL93" s="32">
        <v>61</v>
      </c>
      <c r="EM93" s="32">
        <v>61</v>
      </c>
      <c r="EN93" s="32">
        <v>0</v>
      </c>
      <c r="EO93" s="32">
        <v>0</v>
      </c>
      <c r="EP93" s="33">
        <v>14.3</v>
      </c>
      <c r="EQ93" s="33">
        <v>0</v>
      </c>
      <c r="ER93" s="33">
        <v>2.52</v>
      </c>
      <c r="ES93" s="33">
        <v>1</v>
      </c>
      <c r="ET93" s="33">
        <v>0.76</v>
      </c>
      <c r="EU93" s="33">
        <v>18.580000000000002</v>
      </c>
    </row>
    <row r="94" spans="1:151" ht="41.4" x14ac:dyDescent="0.3">
      <c r="A94" s="25" t="s">
        <v>235</v>
      </c>
      <c r="B94" s="26" t="s">
        <v>444</v>
      </c>
      <c r="C94" s="27" t="s">
        <v>236</v>
      </c>
      <c r="D94" s="27" t="s">
        <v>272</v>
      </c>
      <c r="E94" s="26" t="s">
        <v>504</v>
      </c>
      <c r="F94" s="26" t="s">
        <v>504</v>
      </c>
      <c r="G94" s="28">
        <v>30.06111111111111</v>
      </c>
      <c r="H94" s="28">
        <v>1</v>
      </c>
      <c r="I94" s="29">
        <v>0</v>
      </c>
      <c r="J94" s="29">
        <v>30</v>
      </c>
      <c r="K94" s="29">
        <v>131</v>
      </c>
      <c r="L94" s="29">
        <v>310</v>
      </c>
      <c r="M94" s="29">
        <v>471</v>
      </c>
      <c r="N94" s="29">
        <v>471</v>
      </c>
      <c r="O94" s="29">
        <v>161</v>
      </c>
      <c r="P94" s="29">
        <v>1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31.105555555555554</v>
      </c>
      <c r="X94" s="27">
        <v>61.411111111111111</v>
      </c>
      <c r="Y94" s="27">
        <v>62.283333333333331</v>
      </c>
      <c r="Z94" s="27">
        <v>74.688888888888883</v>
      </c>
      <c r="AA94" s="27">
        <v>74.033333333333331</v>
      </c>
      <c r="AB94" s="27">
        <v>90.2</v>
      </c>
      <c r="AC94" s="27">
        <v>53.294444444444444</v>
      </c>
      <c r="AD94" s="27">
        <v>31.105555555555554</v>
      </c>
      <c r="AE94" s="27">
        <v>123.69444444444444</v>
      </c>
      <c r="AF94" s="27">
        <v>292.21666666666664</v>
      </c>
      <c r="AG94" s="27">
        <v>154.80000000000001</v>
      </c>
      <c r="AH94" s="27">
        <v>447.01666666666665</v>
      </c>
      <c r="AI94" s="27">
        <v>447.01666666666665</v>
      </c>
      <c r="AJ94" s="28">
        <v>32.62777777777778</v>
      </c>
      <c r="AK94" s="28">
        <v>0.17777777777777778</v>
      </c>
      <c r="AL94" s="28">
        <v>32.805555555555557</v>
      </c>
      <c r="AM94" s="29">
        <v>0</v>
      </c>
      <c r="AN94" s="35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30</v>
      </c>
      <c r="AT94" s="27">
        <v>50</v>
      </c>
      <c r="AU94" s="27">
        <v>94</v>
      </c>
      <c r="AV94" s="27">
        <v>89</v>
      </c>
      <c r="AW94" s="27">
        <v>75</v>
      </c>
      <c r="AX94" s="27">
        <v>77</v>
      </c>
      <c r="AY94" s="27">
        <v>78</v>
      </c>
      <c r="AZ94" s="27">
        <v>30</v>
      </c>
      <c r="BA94" s="27">
        <v>144</v>
      </c>
      <c r="BB94" s="27">
        <v>319</v>
      </c>
      <c r="BC94" s="27">
        <v>174</v>
      </c>
      <c r="BD94" s="27">
        <v>493</v>
      </c>
      <c r="BE94" s="27">
        <v>493</v>
      </c>
      <c r="BF94" s="27">
        <v>0</v>
      </c>
      <c r="BG94" s="27">
        <v>0</v>
      </c>
      <c r="BH94" s="27">
        <v>0</v>
      </c>
      <c r="BI94" s="27">
        <v>70</v>
      </c>
      <c r="BJ94" s="27">
        <v>42</v>
      </c>
      <c r="BK94" s="29">
        <v>0</v>
      </c>
      <c r="BL94" s="29">
        <v>42</v>
      </c>
      <c r="BM94" s="29">
        <v>1</v>
      </c>
      <c r="BN94" s="30">
        <v>5.8453213643891611E-2</v>
      </c>
      <c r="BO94" s="31">
        <v>26.968500000000002</v>
      </c>
      <c r="BP94" s="31">
        <v>26.968500000000002</v>
      </c>
      <c r="BQ94" s="31">
        <v>26.593500000000002</v>
      </c>
      <c r="BR94" s="31">
        <v>26.968499999999995</v>
      </c>
      <c r="BS94" s="32">
        <v>383</v>
      </c>
      <c r="BT94" s="32">
        <v>234</v>
      </c>
      <c r="BU94" s="33">
        <v>325.544444</v>
      </c>
      <c r="BV94" s="33">
        <v>0</v>
      </c>
      <c r="BW94" s="33">
        <v>0</v>
      </c>
      <c r="BX94" s="33">
        <v>0</v>
      </c>
      <c r="BY94" s="33">
        <v>0</v>
      </c>
      <c r="BZ94" s="33">
        <v>0</v>
      </c>
      <c r="CA94" s="33">
        <v>0</v>
      </c>
      <c r="CB94" s="33">
        <v>0</v>
      </c>
      <c r="CC94" s="33">
        <v>0</v>
      </c>
      <c r="CD94" s="33">
        <v>29.777777777777779</v>
      </c>
      <c r="CE94" s="33">
        <v>49.088888888888889</v>
      </c>
      <c r="CF94" s="33">
        <v>91.333333333333329</v>
      </c>
      <c r="CG94" s="33">
        <v>84.00555555555556</v>
      </c>
      <c r="CH94" s="33">
        <v>73.338888888888889</v>
      </c>
      <c r="CI94" s="33">
        <v>69.86666666666666</v>
      </c>
      <c r="CJ94" s="33">
        <v>72.333333333333329</v>
      </c>
      <c r="CK94" s="33">
        <v>29.777777777777779</v>
      </c>
      <c r="CL94" s="33">
        <v>140.42222222222222</v>
      </c>
      <c r="CM94" s="33">
        <v>299.54444444444442</v>
      </c>
      <c r="CN94" s="33">
        <v>170.2</v>
      </c>
      <c r="CO94" s="33">
        <v>469.74444444444441</v>
      </c>
      <c r="CP94" s="33">
        <v>469.74444444444441</v>
      </c>
      <c r="CQ94" s="33">
        <v>40.3888888888889</v>
      </c>
      <c r="CR94" s="33">
        <v>0</v>
      </c>
      <c r="CS94" s="33">
        <v>40.3888888888889</v>
      </c>
      <c r="CT94" s="33">
        <v>390.3</v>
      </c>
      <c r="CU94" s="33">
        <v>0</v>
      </c>
      <c r="CV94" s="32">
        <v>0</v>
      </c>
      <c r="CW94" s="32">
        <v>0</v>
      </c>
      <c r="CX94" s="32">
        <v>0</v>
      </c>
      <c r="CY94" s="32">
        <v>0</v>
      </c>
      <c r="CZ94" s="32">
        <v>0</v>
      </c>
      <c r="DA94" s="32">
        <v>0</v>
      </c>
      <c r="DB94" s="32">
        <v>0</v>
      </c>
      <c r="DC94" s="32">
        <v>30</v>
      </c>
      <c r="DD94" s="32">
        <v>77</v>
      </c>
      <c r="DE94" s="32">
        <v>78</v>
      </c>
      <c r="DF94" s="32">
        <v>105</v>
      </c>
      <c r="DG94" s="32">
        <v>82</v>
      </c>
      <c r="DH94" s="32">
        <v>76</v>
      </c>
      <c r="DI94" s="32">
        <v>60</v>
      </c>
      <c r="DJ94" s="32">
        <v>30</v>
      </c>
      <c r="DK94" s="32">
        <v>155</v>
      </c>
      <c r="DL94" s="32">
        <v>323</v>
      </c>
      <c r="DM94" s="32">
        <v>185</v>
      </c>
      <c r="DN94" s="32">
        <v>508</v>
      </c>
      <c r="DO94" s="32">
        <v>508</v>
      </c>
      <c r="DP94" s="32">
        <v>0</v>
      </c>
      <c r="DQ94" s="32">
        <v>80</v>
      </c>
      <c r="DR94" s="32">
        <v>41</v>
      </c>
      <c r="DS94" s="32">
        <v>0</v>
      </c>
      <c r="DT94" s="32">
        <v>41</v>
      </c>
      <c r="DU94" s="32">
        <v>1</v>
      </c>
      <c r="DV94" s="33">
        <v>39.334499999999998</v>
      </c>
      <c r="DW94" s="33">
        <v>39.334499999999998</v>
      </c>
      <c r="DX94" s="33">
        <v>3.1340000000000003</v>
      </c>
      <c r="DY94" s="33">
        <v>33.376000000000005</v>
      </c>
      <c r="DZ94" s="33">
        <v>0</v>
      </c>
      <c r="EA94" s="33">
        <v>40.5015</v>
      </c>
      <c r="EB94" s="34">
        <v>7.3050385109114269E-2</v>
      </c>
      <c r="EC94" s="32"/>
      <c r="ED94" s="32">
        <v>0</v>
      </c>
      <c r="EE94" s="32">
        <v>505</v>
      </c>
      <c r="EF94" s="32">
        <v>35</v>
      </c>
      <c r="EG94" s="32">
        <v>107</v>
      </c>
      <c r="EH94" s="32">
        <v>363</v>
      </c>
      <c r="EI94" s="32">
        <v>505</v>
      </c>
      <c r="EJ94" s="32">
        <v>0</v>
      </c>
      <c r="EK94" s="32">
        <v>44</v>
      </c>
      <c r="EL94" s="32">
        <v>44</v>
      </c>
      <c r="EM94" s="32">
        <v>41</v>
      </c>
      <c r="EN94" s="32">
        <v>3</v>
      </c>
      <c r="EO94" s="32">
        <v>1</v>
      </c>
      <c r="EP94" s="33">
        <v>2.875</v>
      </c>
      <c r="EQ94" s="33">
        <v>0</v>
      </c>
      <c r="ER94" s="33">
        <v>3.4249999999999998</v>
      </c>
      <c r="ES94" s="33">
        <v>0</v>
      </c>
      <c r="ET94" s="33">
        <v>0</v>
      </c>
      <c r="EU94" s="33">
        <v>6.3</v>
      </c>
    </row>
    <row r="95" spans="1:151" ht="27.6" x14ac:dyDescent="0.3">
      <c r="A95" s="25" t="s">
        <v>248</v>
      </c>
      <c r="B95" s="26" t="s">
        <v>451</v>
      </c>
      <c r="C95" s="27" t="s">
        <v>249</v>
      </c>
      <c r="D95" s="27" t="s">
        <v>272</v>
      </c>
      <c r="E95" s="26" t="s">
        <v>504</v>
      </c>
      <c r="F95" s="26" t="s">
        <v>504</v>
      </c>
      <c r="G95" s="28">
        <v>83.7</v>
      </c>
      <c r="H95" s="28">
        <v>6.7444444444444445</v>
      </c>
      <c r="I95" s="29">
        <v>78</v>
      </c>
      <c r="J95" s="29">
        <v>455</v>
      </c>
      <c r="K95" s="29">
        <v>0</v>
      </c>
      <c r="L95" s="29">
        <v>0</v>
      </c>
      <c r="M95" s="29">
        <v>533</v>
      </c>
      <c r="N95" s="29">
        <v>455</v>
      </c>
      <c r="O95" s="29">
        <v>533</v>
      </c>
      <c r="P95" s="29">
        <v>6</v>
      </c>
      <c r="Q95" s="27">
        <v>76.544444444444451</v>
      </c>
      <c r="R95" s="27">
        <v>86.00555555555556</v>
      </c>
      <c r="S95" s="27">
        <v>86.094444444444449</v>
      </c>
      <c r="T95" s="27">
        <v>78.144444444444446</v>
      </c>
      <c r="U95" s="27">
        <v>79.266666666666666</v>
      </c>
      <c r="V95" s="27">
        <v>53.322222222222223</v>
      </c>
      <c r="W95" s="27">
        <v>55.722222222222221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7">
        <v>0</v>
      </c>
      <c r="AD95" s="27">
        <v>438.5555555555556</v>
      </c>
      <c r="AE95" s="27">
        <v>0</v>
      </c>
      <c r="AF95" s="27">
        <v>0</v>
      </c>
      <c r="AG95" s="27">
        <v>515.09999999999991</v>
      </c>
      <c r="AH95" s="27">
        <v>438.5555555555556</v>
      </c>
      <c r="AI95" s="27">
        <v>515.09999999999991</v>
      </c>
      <c r="AJ95" s="28">
        <v>105</v>
      </c>
      <c r="AK95" s="28">
        <v>6.45</v>
      </c>
      <c r="AL95" s="28">
        <v>111.45</v>
      </c>
      <c r="AM95" s="29">
        <v>78</v>
      </c>
      <c r="AN95" s="35">
        <v>86</v>
      </c>
      <c r="AO95" s="27">
        <v>85</v>
      </c>
      <c r="AP95" s="27">
        <v>90</v>
      </c>
      <c r="AQ95" s="27">
        <v>77</v>
      </c>
      <c r="AR95" s="27">
        <v>70</v>
      </c>
      <c r="AS95" s="27">
        <v>53</v>
      </c>
      <c r="AT95" s="27">
        <v>0</v>
      </c>
      <c r="AU95" s="27">
        <v>0</v>
      </c>
      <c r="AV95" s="27">
        <v>0</v>
      </c>
      <c r="AW95" s="27">
        <v>0</v>
      </c>
      <c r="AX95" s="27">
        <v>0</v>
      </c>
      <c r="AY95" s="27">
        <v>0</v>
      </c>
      <c r="AZ95" s="27">
        <v>461</v>
      </c>
      <c r="BA95" s="27">
        <v>0</v>
      </c>
      <c r="BB95" s="27">
        <v>0</v>
      </c>
      <c r="BC95" s="27">
        <v>539</v>
      </c>
      <c r="BD95" s="27">
        <v>461</v>
      </c>
      <c r="BE95" s="27">
        <v>539</v>
      </c>
      <c r="BF95" s="27">
        <v>78</v>
      </c>
      <c r="BG95" s="27">
        <v>0</v>
      </c>
      <c r="BH95" s="27">
        <v>0</v>
      </c>
      <c r="BI95" s="27">
        <v>222</v>
      </c>
      <c r="BJ95" s="27">
        <v>101</v>
      </c>
      <c r="BK95" s="29">
        <v>7</v>
      </c>
      <c r="BL95" s="29">
        <v>108</v>
      </c>
      <c r="BM95" s="29">
        <v>26</v>
      </c>
      <c r="BN95" s="30">
        <v>6.8036619579662339E-2</v>
      </c>
      <c r="BO95" s="31">
        <v>25.58</v>
      </c>
      <c r="BP95" s="31">
        <v>24.58</v>
      </c>
      <c r="BQ95" s="31">
        <v>24.08</v>
      </c>
      <c r="BR95" s="31">
        <v>25.580000000000002</v>
      </c>
      <c r="BS95" s="32">
        <v>0</v>
      </c>
      <c r="BT95" s="32">
        <v>0</v>
      </c>
      <c r="BU95" s="33">
        <v>0</v>
      </c>
      <c r="BV95" s="33">
        <v>0</v>
      </c>
      <c r="BW95" s="33">
        <v>77.488888000000003</v>
      </c>
      <c r="BX95" s="33">
        <v>77.488888888888894</v>
      </c>
      <c r="BY95" s="33">
        <v>84.688888888888883</v>
      </c>
      <c r="BZ95" s="33">
        <v>84.288888888888891</v>
      </c>
      <c r="CA95" s="33">
        <v>87.305555555555557</v>
      </c>
      <c r="CB95" s="33">
        <v>71.488888888888894</v>
      </c>
      <c r="CC95" s="33">
        <v>70.855555555555554</v>
      </c>
      <c r="CD95" s="33">
        <v>48.305555555555557</v>
      </c>
      <c r="CE95" s="33">
        <v>0</v>
      </c>
      <c r="CF95" s="33">
        <v>0</v>
      </c>
      <c r="CG95" s="33">
        <v>0</v>
      </c>
      <c r="CH95" s="33">
        <v>0</v>
      </c>
      <c r="CI95" s="33">
        <v>0</v>
      </c>
      <c r="CJ95" s="33">
        <v>0</v>
      </c>
      <c r="CK95" s="33">
        <v>446.93333333333328</v>
      </c>
      <c r="CL95" s="33">
        <v>0</v>
      </c>
      <c r="CM95" s="33">
        <v>0</v>
      </c>
      <c r="CN95" s="33">
        <v>524.42222222222222</v>
      </c>
      <c r="CO95" s="33">
        <v>446.93333333333328</v>
      </c>
      <c r="CP95" s="33">
        <v>524.42222222222222</v>
      </c>
      <c r="CQ95" s="33">
        <v>103.527777777778</v>
      </c>
      <c r="CR95" s="33">
        <v>7.2333333333333298</v>
      </c>
      <c r="CS95" s="33">
        <v>110.76111111111133</v>
      </c>
      <c r="CT95" s="33">
        <v>0</v>
      </c>
      <c r="CU95" s="33">
        <v>75</v>
      </c>
      <c r="CV95" s="32">
        <v>0</v>
      </c>
      <c r="CW95" s="32">
        <v>75</v>
      </c>
      <c r="CX95" s="32">
        <v>84</v>
      </c>
      <c r="CY95" s="32">
        <v>90</v>
      </c>
      <c r="CZ95" s="32">
        <v>83</v>
      </c>
      <c r="DA95" s="32">
        <v>88</v>
      </c>
      <c r="DB95" s="32">
        <v>67</v>
      </c>
      <c r="DC95" s="32">
        <v>71</v>
      </c>
      <c r="DD95" s="32">
        <v>0</v>
      </c>
      <c r="DE95" s="32">
        <v>0</v>
      </c>
      <c r="DF95" s="32">
        <v>0</v>
      </c>
      <c r="DG95" s="32">
        <v>0</v>
      </c>
      <c r="DH95" s="32">
        <v>0</v>
      </c>
      <c r="DI95" s="32">
        <v>0</v>
      </c>
      <c r="DJ95" s="32">
        <v>483</v>
      </c>
      <c r="DK95" s="32">
        <v>0</v>
      </c>
      <c r="DL95" s="32">
        <v>0</v>
      </c>
      <c r="DM95" s="32">
        <v>558</v>
      </c>
      <c r="DN95" s="32">
        <v>483</v>
      </c>
      <c r="DO95" s="32">
        <v>558</v>
      </c>
      <c r="DP95" s="32">
        <v>0</v>
      </c>
      <c r="DQ95" s="32">
        <v>196</v>
      </c>
      <c r="DR95" s="32">
        <v>109</v>
      </c>
      <c r="DS95" s="32">
        <v>7</v>
      </c>
      <c r="DT95" s="32">
        <v>116</v>
      </c>
      <c r="DU95" s="32">
        <v>21</v>
      </c>
      <c r="DV95" s="33">
        <v>28.85</v>
      </c>
      <c r="DW95" s="33">
        <v>26.85</v>
      </c>
      <c r="DX95" s="33">
        <v>22.39</v>
      </c>
      <c r="DY95" s="33">
        <v>0</v>
      </c>
      <c r="DZ95" s="33">
        <v>0</v>
      </c>
      <c r="EA95" s="33">
        <v>29.23</v>
      </c>
      <c r="EB95" s="34">
        <v>6.3053444572939099E-2</v>
      </c>
      <c r="EC95" s="32"/>
      <c r="ED95" s="32">
        <v>71</v>
      </c>
      <c r="EE95" s="32">
        <v>486</v>
      </c>
      <c r="EF95" s="32">
        <v>486</v>
      </c>
      <c r="EG95" s="32">
        <v>0</v>
      </c>
      <c r="EH95" s="32">
        <v>0</v>
      </c>
      <c r="EI95" s="32">
        <v>557</v>
      </c>
      <c r="EJ95" s="32">
        <v>0</v>
      </c>
      <c r="EK95" s="32">
        <v>122</v>
      </c>
      <c r="EL95" s="32">
        <v>122</v>
      </c>
      <c r="EM95" s="32">
        <v>116</v>
      </c>
      <c r="EN95" s="32">
        <v>6</v>
      </c>
      <c r="EO95" s="32">
        <v>0</v>
      </c>
      <c r="EP95" s="33">
        <v>40.229999999999997</v>
      </c>
      <c r="EQ95" s="33">
        <v>1</v>
      </c>
      <c r="ER95" s="33">
        <v>2.4300000000000002</v>
      </c>
      <c r="ES95" s="33">
        <v>0.38</v>
      </c>
      <c r="ET95" s="33">
        <v>4.43</v>
      </c>
      <c r="EU95" s="33">
        <v>48.47</v>
      </c>
    </row>
    <row r="96" spans="1:151" ht="41.4" x14ac:dyDescent="0.3">
      <c r="A96" s="25" t="s">
        <v>80</v>
      </c>
      <c r="B96" s="26" t="s">
        <v>318</v>
      </c>
      <c r="C96" s="27" t="s">
        <v>81</v>
      </c>
      <c r="D96" s="27" t="s">
        <v>272</v>
      </c>
      <c r="E96" s="26" t="s">
        <v>504</v>
      </c>
      <c r="F96" s="26" t="s">
        <v>504</v>
      </c>
      <c r="G96" s="28">
        <v>62.638888888888886</v>
      </c>
      <c r="H96" s="28">
        <v>0</v>
      </c>
      <c r="I96" s="29">
        <v>52</v>
      </c>
      <c r="J96" s="29">
        <v>433</v>
      </c>
      <c r="K96" s="29">
        <v>0</v>
      </c>
      <c r="L96" s="29">
        <v>0</v>
      </c>
      <c r="M96" s="29">
        <v>485</v>
      </c>
      <c r="N96" s="29">
        <v>433</v>
      </c>
      <c r="O96" s="29">
        <v>485</v>
      </c>
      <c r="P96" s="29">
        <v>0</v>
      </c>
      <c r="Q96" s="27">
        <v>50.616666666666667</v>
      </c>
      <c r="R96" s="27">
        <v>67.172222222222217</v>
      </c>
      <c r="S96" s="27">
        <v>71.816666666666663</v>
      </c>
      <c r="T96" s="27">
        <v>76.405555555555551</v>
      </c>
      <c r="U96" s="27">
        <v>69.416666666666671</v>
      </c>
      <c r="V96" s="27">
        <v>69.944444444444443</v>
      </c>
      <c r="W96" s="27">
        <v>73.305555555555557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428.06111111111113</v>
      </c>
      <c r="AE96" s="27">
        <v>0</v>
      </c>
      <c r="AF96" s="27">
        <v>0</v>
      </c>
      <c r="AG96" s="27">
        <v>478.67777777777781</v>
      </c>
      <c r="AH96" s="27">
        <v>428.06111111111113</v>
      </c>
      <c r="AI96" s="27">
        <v>478.67777777777781</v>
      </c>
      <c r="AJ96" s="28">
        <v>69.188888888888883</v>
      </c>
      <c r="AK96" s="28">
        <v>0</v>
      </c>
      <c r="AL96" s="28">
        <v>69.188888888888883</v>
      </c>
      <c r="AM96" s="29">
        <v>60</v>
      </c>
      <c r="AN96" s="35">
        <v>73</v>
      </c>
      <c r="AO96" s="27">
        <v>76</v>
      </c>
      <c r="AP96" s="27">
        <v>75</v>
      </c>
      <c r="AQ96" s="27">
        <v>79</v>
      </c>
      <c r="AR96" s="27">
        <v>78</v>
      </c>
      <c r="AS96" s="27">
        <v>64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27">
        <v>0</v>
      </c>
      <c r="AZ96" s="27">
        <v>445</v>
      </c>
      <c r="BA96" s="27">
        <v>0</v>
      </c>
      <c r="BB96" s="27">
        <v>0</v>
      </c>
      <c r="BC96" s="27">
        <v>505</v>
      </c>
      <c r="BD96" s="27">
        <v>445</v>
      </c>
      <c r="BE96" s="27">
        <v>505</v>
      </c>
      <c r="BF96" s="27">
        <v>30</v>
      </c>
      <c r="BG96" s="27">
        <v>30</v>
      </c>
      <c r="BH96" s="27">
        <v>0</v>
      </c>
      <c r="BI96" s="27">
        <v>95</v>
      </c>
      <c r="BJ96" s="27">
        <v>89</v>
      </c>
      <c r="BK96" s="29">
        <v>0</v>
      </c>
      <c r="BL96" s="29">
        <v>89</v>
      </c>
      <c r="BM96" s="29">
        <v>16</v>
      </c>
      <c r="BN96" s="30">
        <v>6.7576021211368076E-2</v>
      </c>
      <c r="BO96" s="31">
        <v>30.748000000000001</v>
      </c>
      <c r="BP96" s="31">
        <v>28.748000000000001</v>
      </c>
      <c r="BQ96" s="31">
        <v>27.748000000000001</v>
      </c>
      <c r="BR96" s="31">
        <v>30.748000000000001</v>
      </c>
      <c r="BS96" s="32">
        <v>0</v>
      </c>
      <c r="BT96" s="32">
        <v>0</v>
      </c>
      <c r="BU96" s="33">
        <v>0</v>
      </c>
      <c r="BV96" s="33">
        <v>29.433333000000001</v>
      </c>
      <c r="BW96" s="33">
        <v>28.866665999999999</v>
      </c>
      <c r="BX96" s="33">
        <v>58.3</v>
      </c>
      <c r="BY96" s="33">
        <v>71.983333333333334</v>
      </c>
      <c r="BZ96" s="33">
        <v>75.333333333333329</v>
      </c>
      <c r="CA96" s="33">
        <v>73.683333333333337</v>
      </c>
      <c r="CB96" s="33">
        <v>78.227777777777774</v>
      </c>
      <c r="CC96" s="33">
        <v>77.477777777777774</v>
      </c>
      <c r="CD96" s="33">
        <v>64.016666666666666</v>
      </c>
      <c r="CE96" s="33">
        <v>0</v>
      </c>
      <c r="CF96" s="33">
        <v>0</v>
      </c>
      <c r="CG96" s="33">
        <v>0</v>
      </c>
      <c r="CH96" s="33">
        <v>0</v>
      </c>
      <c r="CI96" s="33">
        <v>0</v>
      </c>
      <c r="CJ96" s="33">
        <v>0</v>
      </c>
      <c r="CK96" s="33">
        <v>440.72222222222217</v>
      </c>
      <c r="CL96" s="33">
        <v>0</v>
      </c>
      <c r="CM96" s="33">
        <v>0</v>
      </c>
      <c r="CN96" s="33">
        <v>499.02222222222218</v>
      </c>
      <c r="CO96" s="33">
        <v>440.72222222222217</v>
      </c>
      <c r="CP96" s="33">
        <v>499.02222222222218</v>
      </c>
      <c r="CQ96" s="33">
        <v>95.311111111111103</v>
      </c>
      <c r="CR96" s="33">
        <v>0</v>
      </c>
      <c r="CS96" s="33">
        <v>95.311111111111103</v>
      </c>
      <c r="CT96" s="33">
        <v>0</v>
      </c>
      <c r="CU96" s="33">
        <v>72</v>
      </c>
      <c r="CV96" s="32">
        <v>0</v>
      </c>
      <c r="CW96" s="32">
        <v>72</v>
      </c>
      <c r="CX96" s="32">
        <v>74</v>
      </c>
      <c r="CY96" s="32">
        <v>73</v>
      </c>
      <c r="CZ96" s="32">
        <v>74</v>
      </c>
      <c r="DA96" s="32">
        <v>74</v>
      </c>
      <c r="DB96" s="32">
        <v>78</v>
      </c>
      <c r="DC96" s="32">
        <v>75</v>
      </c>
      <c r="DD96" s="32">
        <v>0</v>
      </c>
      <c r="DE96" s="32">
        <v>0</v>
      </c>
      <c r="DF96" s="32">
        <v>0</v>
      </c>
      <c r="DG96" s="32">
        <v>0</v>
      </c>
      <c r="DH96" s="32">
        <v>0</v>
      </c>
      <c r="DI96" s="32">
        <v>0</v>
      </c>
      <c r="DJ96" s="32">
        <v>448</v>
      </c>
      <c r="DK96" s="32">
        <v>0</v>
      </c>
      <c r="DL96" s="32">
        <v>0</v>
      </c>
      <c r="DM96" s="32">
        <v>520</v>
      </c>
      <c r="DN96" s="32">
        <v>448</v>
      </c>
      <c r="DO96" s="32">
        <v>520</v>
      </c>
      <c r="DP96" s="32">
        <v>0</v>
      </c>
      <c r="DQ96" s="32">
        <v>100</v>
      </c>
      <c r="DR96" s="32">
        <v>92</v>
      </c>
      <c r="DS96" s="32">
        <v>0</v>
      </c>
      <c r="DT96" s="32">
        <v>92</v>
      </c>
      <c r="DU96" s="32">
        <v>17</v>
      </c>
      <c r="DV96" s="33">
        <v>34.44</v>
      </c>
      <c r="DW96" s="33">
        <v>31.44</v>
      </c>
      <c r="DX96" s="33">
        <v>25.25</v>
      </c>
      <c r="DY96" s="33">
        <v>0</v>
      </c>
      <c r="DZ96" s="33">
        <v>0</v>
      </c>
      <c r="EA96" s="33">
        <v>34.44</v>
      </c>
      <c r="EB96" s="34">
        <v>6.9056308654848853E-2</v>
      </c>
      <c r="EC96" s="32"/>
      <c r="ED96" s="32">
        <v>71</v>
      </c>
      <c r="EE96" s="32">
        <v>445</v>
      </c>
      <c r="EF96" s="32">
        <v>445</v>
      </c>
      <c r="EG96" s="32">
        <v>0</v>
      </c>
      <c r="EH96" s="32">
        <v>0</v>
      </c>
      <c r="EI96" s="32">
        <v>516</v>
      </c>
      <c r="EJ96" s="32">
        <v>0</v>
      </c>
      <c r="EK96" s="32">
        <v>97</v>
      </c>
      <c r="EL96" s="32">
        <v>97</v>
      </c>
      <c r="EM96" s="32">
        <v>96</v>
      </c>
      <c r="EN96" s="32">
        <v>1</v>
      </c>
      <c r="EO96" s="32">
        <v>0</v>
      </c>
      <c r="EP96" s="33">
        <v>13.1</v>
      </c>
      <c r="EQ96" s="33">
        <v>0.72499999999999998</v>
      </c>
      <c r="ER96" s="33">
        <v>2</v>
      </c>
      <c r="ES96" s="33">
        <v>3.5</v>
      </c>
      <c r="ET96" s="33">
        <v>0</v>
      </c>
      <c r="EU96" s="33">
        <v>19.324999999999999</v>
      </c>
    </row>
    <row r="97" spans="1:151" ht="27.6" x14ac:dyDescent="0.3">
      <c r="A97" s="25" t="s">
        <v>96</v>
      </c>
      <c r="B97" s="26" t="s">
        <v>332</v>
      </c>
      <c r="C97" s="27" t="s">
        <v>97</v>
      </c>
      <c r="D97" s="27" t="s">
        <v>272</v>
      </c>
      <c r="E97" s="26" t="s">
        <v>504</v>
      </c>
      <c r="F97" s="26" t="s">
        <v>504</v>
      </c>
      <c r="G97" s="28">
        <v>119.55</v>
      </c>
      <c r="H97" s="28">
        <v>5.833333333333333</v>
      </c>
      <c r="I97" s="29">
        <v>104</v>
      </c>
      <c r="J97" s="29">
        <v>630</v>
      </c>
      <c r="K97" s="29">
        <v>192</v>
      </c>
      <c r="L97" s="29">
        <v>84</v>
      </c>
      <c r="M97" s="29">
        <v>1010</v>
      </c>
      <c r="N97" s="29">
        <v>906</v>
      </c>
      <c r="O97" s="29">
        <v>926</v>
      </c>
      <c r="P97" s="29">
        <v>6</v>
      </c>
      <c r="Q97" s="27">
        <v>101.56666666666666</v>
      </c>
      <c r="R97" s="27">
        <v>101.71666666666667</v>
      </c>
      <c r="S97" s="27">
        <v>104.06111111111112</v>
      </c>
      <c r="T97" s="27">
        <v>102.81111111111112</v>
      </c>
      <c r="U97" s="27">
        <v>103.45555555555555</v>
      </c>
      <c r="V97" s="27">
        <v>103.63888888888889</v>
      </c>
      <c r="W97" s="27">
        <v>102.53888888888889</v>
      </c>
      <c r="X97" s="27">
        <v>103.32777777777778</v>
      </c>
      <c r="Y97" s="27">
        <v>87.188888888888883</v>
      </c>
      <c r="Z97" s="27">
        <v>81.74444444444444</v>
      </c>
      <c r="AA97" s="27">
        <v>0</v>
      </c>
      <c r="AB97" s="27">
        <v>0</v>
      </c>
      <c r="AC97" s="27">
        <v>0</v>
      </c>
      <c r="AD97" s="27">
        <v>618.22222222222229</v>
      </c>
      <c r="AE97" s="27">
        <v>190.51666666666665</v>
      </c>
      <c r="AF97" s="27">
        <v>81.74444444444444</v>
      </c>
      <c r="AG97" s="27">
        <v>910.30555555555554</v>
      </c>
      <c r="AH97" s="27">
        <v>890.48333333333335</v>
      </c>
      <c r="AI97" s="27">
        <v>992.05</v>
      </c>
      <c r="AJ97" s="28">
        <v>128.92777777777778</v>
      </c>
      <c r="AK97" s="28">
        <v>7.416666666666667</v>
      </c>
      <c r="AL97" s="28">
        <v>136.34444444444443</v>
      </c>
      <c r="AM97" s="29">
        <v>102</v>
      </c>
      <c r="AN97" s="35">
        <v>103</v>
      </c>
      <c r="AO97" s="27">
        <v>106</v>
      </c>
      <c r="AP97" s="27">
        <v>105</v>
      </c>
      <c r="AQ97" s="27">
        <v>107</v>
      </c>
      <c r="AR97" s="27">
        <v>104</v>
      </c>
      <c r="AS97" s="27">
        <v>104</v>
      </c>
      <c r="AT97" s="27">
        <v>110</v>
      </c>
      <c r="AU97" s="27">
        <v>108</v>
      </c>
      <c r="AV97" s="27">
        <v>62</v>
      </c>
      <c r="AW97" s="27">
        <v>0</v>
      </c>
      <c r="AX97" s="27">
        <v>0</v>
      </c>
      <c r="AY97" s="27">
        <v>0</v>
      </c>
      <c r="AZ97" s="27">
        <v>629</v>
      </c>
      <c r="BA97" s="27">
        <v>218</v>
      </c>
      <c r="BB97" s="27">
        <v>62</v>
      </c>
      <c r="BC97" s="27">
        <v>949</v>
      </c>
      <c r="BD97" s="27">
        <v>909</v>
      </c>
      <c r="BE97" s="27">
        <v>1011</v>
      </c>
      <c r="BF97" s="27">
        <v>0</v>
      </c>
      <c r="BG97" s="27">
        <v>102</v>
      </c>
      <c r="BH97" s="27">
        <v>0</v>
      </c>
      <c r="BI97" s="27">
        <v>125</v>
      </c>
      <c r="BJ97" s="27">
        <v>126</v>
      </c>
      <c r="BK97" s="29">
        <v>7</v>
      </c>
      <c r="BL97" s="29">
        <v>133</v>
      </c>
      <c r="BM97" s="29">
        <v>9</v>
      </c>
      <c r="BN97" s="30">
        <v>7.5022907758094115E-2</v>
      </c>
      <c r="BO97" s="31">
        <v>53</v>
      </c>
      <c r="BP97" s="31">
        <v>53</v>
      </c>
      <c r="BQ97" s="31">
        <v>52</v>
      </c>
      <c r="BR97" s="31">
        <v>53</v>
      </c>
      <c r="BS97" s="32">
        <v>0</v>
      </c>
      <c r="BT97" s="32">
        <v>0</v>
      </c>
      <c r="BU97" s="33">
        <v>0</v>
      </c>
      <c r="BV97" s="33">
        <v>98.088887999999997</v>
      </c>
      <c r="BW97" s="33">
        <v>0</v>
      </c>
      <c r="BX97" s="33">
        <v>98.088888888888889</v>
      </c>
      <c r="BY97" s="33">
        <v>99.605555555555554</v>
      </c>
      <c r="BZ97" s="33">
        <v>103.89444444444445</v>
      </c>
      <c r="CA97" s="33">
        <v>104.55555555555556</v>
      </c>
      <c r="CB97" s="33">
        <v>104.88333333333334</v>
      </c>
      <c r="CC97" s="33">
        <v>100.85555555555555</v>
      </c>
      <c r="CD97" s="33">
        <v>101.78333333333333</v>
      </c>
      <c r="CE97" s="33">
        <v>108.86111111111111</v>
      </c>
      <c r="CF97" s="33">
        <v>107.19444444444444</v>
      </c>
      <c r="CG97" s="33">
        <v>60.605555555555554</v>
      </c>
      <c r="CH97" s="33">
        <v>0</v>
      </c>
      <c r="CI97" s="33">
        <v>0</v>
      </c>
      <c r="CJ97" s="33">
        <v>0</v>
      </c>
      <c r="CK97" s="33">
        <v>615.57777777777778</v>
      </c>
      <c r="CL97" s="33">
        <v>216.05555555555554</v>
      </c>
      <c r="CM97" s="33">
        <v>60.605555555555554</v>
      </c>
      <c r="CN97" s="33">
        <v>929.72222222222217</v>
      </c>
      <c r="CO97" s="33">
        <v>892.23888888888882</v>
      </c>
      <c r="CP97" s="33">
        <v>990.32777777777778</v>
      </c>
      <c r="CQ97" s="33">
        <v>128.722222222222</v>
      </c>
      <c r="CR97" s="33">
        <v>7.3888888888888902</v>
      </c>
      <c r="CS97" s="33">
        <v>136.11111111111089</v>
      </c>
      <c r="CT97" s="33">
        <v>0</v>
      </c>
      <c r="CU97" s="33">
        <v>112</v>
      </c>
      <c r="CV97" s="32">
        <v>16</v>
      </c>
      <c r="CW97" s="32">
        <v>128</v>
      </c>
      <c r="CX97" s="32">
        <v>122</v>
      </c>
      <c r="CY97" s="32">
        <v>104</v>
      </c>
      <c r="CZ97" s="32">
        <v>106</v>
      </c>
      <c r="DA97" s="32">
        <v>107</v>
      </c>
      <c r="DB97" s="32">
        <v>112</v>
      </c>
      <c r="DC97" s="32">
        <v>103</v>
      </c>
      <c r="DD97" s="32">
        <v>104</v>
      </c>
      <c r="DE97" s="32">
        <v>101</v>
      </c>
      <c r="DF97" s="32">
        <v>74</v>
      </c>
      <c r="DG97" s="32">
        <v>0</v>
      </c>
      <c r="DH97" s="32">
        <v>0</v>
      </c>
      <c r="DI97" s="32">
        <v>0</v>
      </c>
      <c r="DJ97" s="32">
        <v>654</v>
      </c>
      <c r="DK97" s="32">
        <v>205</v>
      </c>
      <c r="DL97" s="32">
        <v>74</v>
      </c>
      <c r="DM97" s="32">
        <v>987</v>
      </c>
      <c r="DN97" s="32">
        <v>933</v>
      </c>
      <c r="DO97" s="32">
        <v>1061</v>
      </c>
      <c r="DP97" s="32">
        <v>0</v>
      </c>
      <c r="DQ97" s="32">
        <v>133</v>
      </c>
      <c r="DR97" s="32">
        <v>126</v>
      </c>
      <c r="DS97" s="32">
        <v>9</v>
      </c>
      <c r="DT97" s="32">
        <v>135</v>
      </c>
      <c r="DU97" s="32">
        <v>20</v>
      </c>
      <c r="DV97" s="33">
        <v>57</v>
      </c>
      <c r="DW97" s="33">
        <v>57</v>
      </c>
      <c r="DX97" s="33">
        <v>32.72</v>
      </c>
      <c r="DY97" s="33">
        <v>18.799999999999997</v>
      </c>
      <c r="DZ97" s="33">
        <v>0</v>
      </c>
      <c r="EA97" s="33">
        <v>57</v>
      </c>
      <c r="EB97" s="34">
        <v>7.3463211651219995E-2</v>
      </c>
      <c r="EC97" s="32"/>
      <c r="ED97" s="32">
        <v>140</v>
      </c>
      <c r="EE97" s="32">
        <v>1059</v>
      </c>
      <c r="EF97" s="32">
        <v>729</v>
      </c>
      <c r="EG97" s="32">
        <v>233</v>
      </c>
      <c r="EH97" s="32">
        <v>97</v>
      </c>
      <c r="EI97" s="32">
        <v>1199</v>
      </c>
      <c r="EJ97" s="32">
        <v>0</v>
      </c>
      <c r="EK97" s="32">
        <v>134</v>
      </c>
      <c r="EL97" s="32">
        <v>134</v>
      </c>
      <c r="EM97" s="32">
        <v>124</v>
      </c>
      <c r="EN97" s="32">
        <v>10</v>
      </c>
      <c r="EO97" s="32">
        <v>5</v>
      </c>
      <c r="EP97" s="33">
        <v>37.073</v>
      </c>
      <c r="EQ97" s="33">
        <v>0</v>
      </c>
      <c r="ER97" s="33">
        <v>3.4980000000000002</v>
      </c>
      <c r="ES97" s="33">
        <v>0.98499999999999999</v>
      </c>
      <c r="ET97" s="33">
        <v>7.4870000000000001</v>
      </c>
      <c r="EU97" s="33">
        <v>49.042999999999999</v>
      </c>
    </row>
    <row r="98" spans="1:151" ht="27.6" x14ac:dyDescent="0.3">
      <c r="A98" s="25" t="s">
        <v>112</v>
      </c>
      <c r="B98" s="26" t="s">
        <v>347</v>
      </c>
      <c r="C98" s="27" t="s">
        <v>707</v>
      </c>
      <c r="D98" s="27" t="s">
        <v>272</v>
      </c>
      <c r="E98" s="26" t="s">
        <v>504</v>
      </c>
      <c r="F98" s="26" t="s">
        <v>504</v>
      </c>
      <c r="G98" s="28">
        <v>240.87222222222223</v>
      </c>
      <c r="H98" s="28">
        <v>11.472222222222221</v>
      </c>
      <c r="I98" s="29">
        <v>178</v>
      </c>
      <c r="J98" s="29">
        <v>1123</v>
      </c>
      <c r="K98" s="29">
        <v>298</v>
      </c>
      <c r="L98" s="29">
        <v>141</v>
      </c>
      <c r="M98" s="29">
        <v>1740</v>
      </c>
      <c r="N98" s="29">
        <v>1562</v>
      </c>
      <c r="O98" s="29">
        <v>1599</v>
      </c>
      <c r="P98" s="29">
        <v>11</v>
      </c>
      <c r="Q98" s="27">
        <v>173.46111111111111</v>
      </c>
      <c r="R98" s="27">
        <v>170.79444444444445</v>
      </c>
      <c r="S98" s="27">
        <v>185.17777777777778</v>
      </c>
      <c r="T98" s="27">
        <v>184.12777777777777</v>
      </c>
      <c r="U98" s="27">
        <v>181.82777777777778</v>
      </c>
      <c r="V98" s="27">
        <v>183.34444444444443</v>
      </c>
      <c r="W98" s="27">
        <v>201.17777777777778</v>
      </c>
      <c r="X98" s="27">
        <v>150.44444444444446</v>
      </c>
      <c r="Y98" s="27">
        <v>143.31666666666666</v>
      </c>
      <c r="Z98" s="27">
        <v>137.03333333333333</v>
      </c>
      <c r="AA98" s="27">
        <v>0</v>
      </c>
      <c r="AB98" s="27">
        <v>0</v>
      </c>
      <c r="AC98" s="27">
        <v>0</v>
      </c>
      <c r="AD98" s="27">
        <v>1106.45</v>
      </c>
      <c r="AE98" s="27">
        <v>293.76111111111112</v>
      </c>
      <c r="AF98" s="27">
        <v>137.03333333333333</v>
      </c>
      <c r="AG98" s="27">
        <v>1573.672222222222</v>
      </c>
      <c r="AH98" s="27">
        <v>1537.2444444444445</v>
      </c>
      <c r="AI98" s="27">
        <v>1710.7055555555553</v>
      </c>
      <c r="AJ98" s="28">
        <v>276.07777777777778</v>
      </c>
      <c r="AK98" s="28">
        <v>8.2166666666666668</v>
      </c>
      <c r="AL98" s="28">
        <v>284.29444444444442</v>
      </c>
      <c r="AM98" s="29">
        <v>173</v>
      </c>
      <c r="AN98" s="35">
        <v>177</v>
      </c>
      <c r="AO98" s="27">
        <v>185</v>
      </c>
      <c r="AP98" s="27">
        <v>188</v>
      </c>
      <c r="AQ98" s="27">
        <v>187</v>
      </c>
      <c r="AR98" s="27">
        <v>185</v>
      </c>
      <c r="AS98" s="27">
        <v>191</v>
      </c>
      <c r="AT98" s="27">
        <v>168</v>
      </c>
      <c r="AU98" s="27">
        <v>146</v>
      </c>
      <c r="AV98" s="27">
        <v>140</v>
      </c>
      <c r="AW98" s="27">
        <v>0</v>
      </c>
      <c r="AX98" s="27">
        <v>0</v>
      </c>
      <c r="AY98" s="27">
        <v>0</v>
      </c>
      <c r="AZ98" s="27">
        <v>1113</v>
      </c>
      <c r="BA98" s="27">
        <v>314</v>
      </c>
      <c r="BB98" s="27">
        <v>140</v>
      </c>
      <c r="BC98" s="27">
        <v>1600</v>
      </c>
      <c r="BD98" s="27">
        <v>1567</v>
      </c>
      <c r="BE98" s="27">
        <v>1740</v>
      </c>
      <c r="BF98" s="27">
        <v>78</v>
      </c>
      <c r="BG98" s="27">
        <v>95</v>
      </c>
      <c r="BH98" s="27">
        <v>0</v>
      </c>
      <c r="BI98" s="27">
        <v>306</v>
      </c>
      <c r="BJ98" s="27">
        <v>307</v>
      </c>
      <c r="BK98" s="29">
        <v>8</v>
      </c>
      <c r="BL98" s="29">
        <v>315</v>
      </c>
      <c r="BM98" s="29">
        <v>15</v>
      </c>
      <c r="BN98" s="30">
        <v>8.8459735960433772E-2</v>
      </c>
      <c r="BO98" s="31">
        <v>107.76899999999999</v>
      </c>
      <c r="BP98" s="31">
        <v>101.76899999999999</v>
      </c>
      <c r="BQ98" s="31">
        <v>97.468999999999994</v>
      </c>
      <c r="BR98" s="31">
        <v>107.76899999999999</v>
      </c>
      <c r="BS98" s="32">
        <v>0</v>
      </c>
      <c r="BT98" s="32">
        <v>0</v>
      </c>
      <c r="BU98" s="33">
        <v>0</v>
      </c>
      <c r="BV98" s="33">
        <v>93.033332999999999</v>
      </c>
      <c r="BW98" s="33">
        <v>74.05</v>
      </c>
      <c r="BX98" s="33">
        <v>167.08333333333334</v>
      </c>
      <c r="BY98" s="33">
        <v>175.75555555555556</v>
      </c>
      <c r="BZ98" s="33">
        <v>177.7</v>
      </c>
      <c r="CA98" s="33">
        <v>181.52222222222221</v>
      </c>
      <c r="CB98" s="33">
        <v>183.94444444444446</v>
      </c>
      <c r="CC98" s="33">
        <v>181.89444444444445</v>
      </c>
      <c r="CD98" s="33">
        <v>186.42777777777778</v>
      </c>
      <c r="CE98" s="33">
        <v>167.10555555555555</v>
      </c>
      <c r="CF98" s="33">
        <v>144.72777777777779</v>
      </c>
      <c r="CG98" s="33">
        <v>139.16666666666666</v>
      </c>
      <c r="CH98" s="33">
        <v>0</v>
      </c>
      <c r="CI98" s="33">
        <v>0</v>
      </c>
      <c r="CJ98" s="33">
        <v>0</v>
      </c>
      <c r="CK98" s="33">
        <v>1087.2444444444443</v>
      </c>
      <c r="CL98" s="33">
        <v>311.83333333333337</v>
      </c>
      <c r="CM98" s="33">
        <v>139.16666666666666</v>
      </c>
      <c r="CN98" s="33">
        <v>1566.1611111111113</v>
      </c>
      <c r="CO98" s="33">
        <v>1538.2444444444445</v>
      </c>
      <c r="CP98" s="33">
        <v>1705.327777777778</v>
      </c>
      <c r="CQ98" s="33">
        <v>307.91666666666703</v>
      </c>
      <c r="CR98" s="33">
        <v>11.3722222222222</v>
      </c>
      <c r="CS98" s="33">
        <v>319.28888888888923</v>
      </c>
      <c r="CT98" s="33">
        <v>0</v>
      </c>
      <c r="CU98" s="33">
        <v>128</v>
      </c>
      <c r="CV98" s="32">
        <v>31</v>
      </c>
      <c r="CW98" s="32">
        <v>159</v>
      </c>
      <c r="CX98" s="32">
        <v>182</v>
      </c>
      <c r="CY98" s="32">
        <v>174</v>
      </c>
      <c r="CZ98" s="32">
        <v>184</v>
      </c>
      <c r="DA98" s="32">
        <v>184</v>
      </c>
      <c r="DB98" s="32">
        <v>188</v>
      </c>
      <c r="DC98" s="32">
        <v>182</v>
      </c>
      <c r="DD98" s="32">
        <v>169</v>
      </c>
      <c r="DE98" s="32">
        <v>158</v>
      </c>
      <c r="DF98" s="32">
        <v>138</v>
      </c>
      <c r="DG98" s="32">
        <v>0</v>
      </c>
      <c r="DH98" s="32">
        <v>0</v>
      </c>
      <c r="DI98" s="32">
        <v>0</v>
      </c>
      <c r="DJ98" s="32">
        <v>1094</v>
      </c>
      <c r="DK98" s="32">
        <v>327</v>
      </c>
      <c r="DL98" s="32">
        <v>138</v>
      </c>
      <c r="DM98" s="32">
        <v>1580</v>
      </c>
      <c r="DN98" s="32">
        <v>1559</v>
      </c>
      <c r="DO98" s="32">
        <v>1718</v>
      </c>
      <c r="DP98" s="32">
        <v>0</v>
      </c>
      <c r="DQ98" s="32">
        <v>293</v>
      </c>
      <c r="DR98" s="32">
        <v>312</v>
      </c>
      <c r="DS98" s="32">
        <v>15</v>
      </c>
      <c r="DT98" s="32">
        <v>327</v>
      </c>
      <c r="DU98" s="32">
        <v>15</v>
      </c>
      <c r="DV98" s="33">
        <v>108.48399999999999</v>
      </c>
      <c r="DW98" s="33">
        <v>102.48399999999999</v>
      </c>
      <c r="DX98" s="33">
        <v>62.07</v>
      </c>
      <c r="DY98" s="33">
        <v>29.463999999999999</v>
      </c>
      <c r="DZ98" s="33">
        <v>0</v>
      </c>
      <c r="EA98" s="33">
        <v>109.48400000000001</v>
      </c>
      <c r="EB98" s="34">
        <v>8.6687201232073852E-2</v>
      </c>
      <c r="EC98" s="32"/>
      <c r="ED98" s="32">
        <v>230</v>
      </c>
      <c r="EE98" s="32">
        <v>1869</v>
      </c>
      <c r="EF98" s="32">
        <v>1466</v>
      </c>
      <c r="EG98" s="32">
        <v>283</v>
      </c>
      <c r="EH98" s="32">
        <v>120</v>
      </c>
      <c r="EI98" s="32">
        <v>2099</v>
      </c>
      <c r="EJ98" s="32">
        <v>0</v>
      </c>
      <c r="EK98" s="32">
        <v>314</v>
      </c>
      <c r="EL98" s="32">
        <v>314</v>
      </c>
      <c r="EM98" s="32">
        <v>303</v>
      </c>
      <c r="EN98" s="32">
        <v>11</v>
      </c>
      <c r="EO98" s="32">
        <v>7</v>
      </c>
      <c r="EP98" s="33">
        <v>61.662999999999997</v>
      </c>
      <c r="EQ98" s="33">
        <v>0.72499999999999998</v>
      </c>
      <c r="ER98" s="33">
        <v>8.7249999999999996</v>
      </c>
      <c r="ES98" s="33">
        <v>0.875</v>
      </c>
      <c r="ET98" s="33">
        <v>24.55</v>
      </c>
      <c r="EU98" s="33">
        <v>96.537999999999997</v>
      </c>
    </row>
    <row r="99" spans="1:151" ht="41.4" x14ac:dyDescent="0.3">
      <c r="A99" s="25" t="s">
        <v>129</v>
      </c>
      <c r="B99" s="26" t="s">
        <v>363</v>
      </c>
      <c r="C99" s="27" t="s">
        <v>130</v>
      </c>
      <c r="D99" s="27" t="s">
        <v>272</v>
      </c>
      <c r="E99" s="26" t="s">
        <v>504</v>
      </c>
      <c r="F99" s="26" t="s">
        <v>504</v>
      </c>
      <c r="G99" s="28">
        <v>41.911111111111111</v>
      </c>
      <c r="H99" s="28">
        <v>3.6055555555555556</v>
      </c>
      <c r="I99" s="29">
        <v>71</v>
      </c>
      <c r="J99" s="29">
        <v>308</v>
      </c>
      <c r="K99" s="29">
        <v>92</v>
      </c>
      <c r="L99" s="29">
        <v>0</v>
      </c>
      <c r="M99" s="29">
        <v>471</v>
      </c>
      <c r="N99" s="29">
        <v>400</v>
      </c>
      <c r="O99" s="29">
        <v>471</v>
      </c>
      <c r="P99" s="29">
        <v>3</v>
      </c>
      <c r="Q99" s="27">
        <v>69.794444444444451</v>
      </c>
      <c r="R99" s="27">
        <v>50.861111111111114</v>
      </c>
      <c r="S99" s="27">
        <v>53.611111111111114</v>
      </c>
      <c r="T99" s="27">
        <v>54.472222222222221</v>
      </c>
      <c r="U99" s="27">
        <v>43.005555555555553</v>
      </c>
      <c r="V99" s="27">
        <v>48.794444444444444</v>
      </c>
      <c r="W99" s="27">
        <v>50.116666666666667</v>
      </c>
      <c r="X99" s="27">
        <v>49.488888888888887</v>
      </c>
      <c r="Y99" s="27">
        <v>44.494444444444447</v>
      </c>
      <c r="Z99" s="27">
        <v>0</v>
      </c>
      <c r="AA99" s="27">
        <v>0</v>
      </c>
      <c r="AB99" s="27">
        <v>0</v>
      </c>
      <c r="AC99" s="27">
        <v>0</v>
      </c>
      <c r="AD99" s="27">
        <v>300.86111111111114</v>
      </c>
      <c r="AE99" s="27">
        <v>93.983333333333334</v>
      </c>
      <c r="AF99" s="27">
        <v>0</v>
      </c>
      <c r="AG99" s="27">
        <v>464.63888888888891</v>
      </c>
      <c r="AH99" s="27">
        <v>394.84444444444449</v>
      </c>
      <c r="AI99" s="27">
        <v>464.63888888888891</v>
      </c>
      <c r="AJ99" s="28">
        <v>40.594444444444441</v>
      </c>
      <c r="AK99" s="28">
        <v>3</v>
      </c>
      <c r="AL99" s="28">
        <v>43.594444444444441</v>
      </c>
      <c r="AM99" s="29">
        <v>55</v>
      </c>
      <c r="AN99" s="35">
        <v>67</v>
      </c>
      <c r="AO99" s="27">
        <v>54</v>
      </c>
      <c r="AP99" s="27">
        <v>53</v>
      </c>
      <c r="AQ99" s="27">
        <v>49</v>
      </c>
      <c r="AR99" s="27">
        <v>38</v>
      </c>
      <c r="AS99" s="27">
        <v>44</v>
      </c>
      <c r="AT99" s="27">
        <v>51</v>
      </c>
      <c r="AU99" s="27">
        <v>49</v>
      </c>
      <c r="AV99" s="27">
        <v>0</v>
      </c>
      <c r="AW99" s="27">
        <v>0</v>
      </c>
      <c r="AX99" s="27">
        <v>0</v>
      </c>
      <c r="AY99" s="27">
        <v>0</v>
      </c>
      <c r="AZ99" s="27">
        <v>305</v>
      </c>
      <c r="BA99" s="27">
        <v>100</v>
      </c>
      <c r="BB99" s="27">
        <v>0</v>
      </c>
      <c r="BC99" s="27">
        <v>460</v>
      </c>
      <c r="BD99" s="27">
        <v>405</v>
      </c>
      <c r="BE99" s="27">
        <v>460</v>
      </c>
      <c r="BF99" s="27">
        <v>55</v>
      </c>
      <c r="BG99" s="27">
        <v>0</v>
      </c>
      <c r="BH99" s="27">
        <v>0</v>
      </c>
      <c r="BI99" s="27">
        <v>365</v>
      </c>
      <c r="BJ99" s="27">
        <v>36</v>
      </c>
      <c r="BK99" s="29">
        <v>2</v>
      </c>
      <c r="BL99" s="29">
        <v>38</v>
      </c>
      <c r="BM99" s="29">
        <v>187</v>
      </c>
      <c r="BN99" s="30">
        <v>3.2738095238095177E-2</v>
      </c>
      <c r="BO99" s="31">
        <v>21</v>
      </c>
      <c r="BP99" s="31">
        <v>20</v>
      </c>
      <c r="BQ99" s="31">
        <v>20</v>
      </c>
      <c r="BR99" s="31">
        <v>26</v>
      </c>
      <c r="BS99" s="32">
        <v>0</v>
      </c>
      <c r="BT99" s="32">
        <v>0</v>
      </c>
      <c r="BU99" s="33">
        <v>0</v>
      </c>
      <c r="BV99" s="33">
        <v>0.105555</v>
      </c>
      <c r="BW99" s="33">
        <v>55.116666000000002</v>
      </c>
      <c r="BX99" s="33">
        <v>55.222222222222221</v>
      </c>
      <c r="BY99" s="33">
        <v>67.661111111111111</v>
      </c>
      <c r="BZ99" s="33">
        <v>50.072222222222223</v>
      </c>
      <c r="CA99" s="33">
        <v>52.31111111111111</v>
      </c>
      <c r="CB99" s="33">
        <v>46.37222222222222</v>
      </c>
      <c r="CC99" s="33">
        <v>39.483333333333334</v>
      </c>
      <c r="CD99" s="33">
        <v>44.338888888888889</v>
      </c>
      <c r="CE99" s="33">
        <v>47.366666666666667</v>
      </c>
      <c r="CF99" s="33">
        <v>44.577777777777776</v>
      </c>
      <c r="CG99" s="33">
        <v>0</v>
      </c>
      <c r="CH99" s="33">
        <v>0</v>
      </c>
      <c r="CI99" s="33">
        <v>0</v>
      </c>
      <c r="CJ99" s="33">
        <v>0</v>
      </c>
      <c r="CK99" s="33">
        <v>300.23888888888894</v>
      </c>
      <c r="CL99" s="33">
        <v>91.944444444444443</v>
      </c>
      <c r="CM99" s="33">
        <v>0</v>
      </c>
      <c r="CN99" s="33">
        <v>447.40555555555557</v>
      </c>
      <c r="CO99" s="33">
        <v>392.18333333333339</v>
      </c>
      <c r="CP99" s="33">
        <v>447.40555555555557</v>
      </c>
      <c r="CQ99" s="33">
        <v>40.938888888888897</v>
      </c>
      <c r="CR99" s="33">
        <v>2</v>
      </c>
      <c r="CS99" s="33">
        <v>42.938888888888897</v>
      </c>
      <c r="CT99" s="33">
        <v>0</v>
      </c>
      <c r="CU99" s="33">
        <v>54</v>
      </c>
      <c r="CV99" s="32">
        <v>0</v>
      </c>
      <c r="CW99" s="32">
        <v>54</v>
      </c>
      <c r="CX99" s="32">
        <v>62</v>
      </c>
      <c r="CY99" s="32">
        <v>62</v>
      </c>
      <c r="CZ99" s="32">
        <v>48</v>
      </c>
      <c r="DA99" s="32">
        <v>50</v>
      </c>
      <c r="DB99" s="32">
        <v>41</v>
      </c>
      <c r="DC99" s="32">
        <v>35</v>
      </c>
      <c r="DD99" s="32">
        <v>43</v>
      </c>
      <c r="DE99" s="32">
        <v>39</v>
      </c>
      <c r="DF99" s="32">
        <v>0</v>
      </c>
      <c r="DG99" s="32">
        <v>0</v>
      </c>
      <c r="DH99" s="32">
        <v>0</v>
      </c>
      <c r="DI99" s="32">
        <v>0</v>
      </c>
      <c r="DJ99" s="32">
        <v>298</v>
      </c>
      <c r="DK99" s="32">
        <v>82</v>
      </c>
      <c r="DL99" s="32">
        <v>0</v>
      </c>
      <c r="DM99" s="32">
        <v>434</v>
      </c>
      <c r="DN99" s="32">
        <v>380</v>
      </c>
      <c r="DO99" s="32">
        <v>434</v>
      </c>
      <c r="DP99" s="32">
        <v>0</v>
      </c>
      <c r="DQ99" s="32">
        <v>274</v>
      </c>
      <c r="DR99" s="32">
        <v>34</v>
      </c>
      <c r="DS99" s="32">
        <v>2</v>
      </c>
      <c r="DT99" s="32">
        <v>36</v>
      </c>
      <c r="DU99" s="32">
        <v>175</v>
      </c>
      <c r="DV99" s="33">
        <v>24</v>
      </c>
      <c r="DW99" s="33">
        <v>23</v>
      </c>
      <c r="DX99" s="33">
        <v>14.82</v>
      </c>
      <c r="DY99" s="33">
        <v>5.85</v>
      </c>
      <c r="DZ99" s="33">
        <v>0</v>
      </c>
      <c r="EA99" s="33">
        <v>26</v>
      </c>
      <c r="EB99" s="34">
        <v>4.9999999999999989E-2</v>
      </c>
      <c r="EC99" s="32"/>
      <c r="ED99" s="32">
        <v>64</v>
      </c>
      <c r="EE99" s="32">
        <v>369</v>
      </c>
      <c r="EF99" s="32">
        <v>285</v>
      </c>
      <c r="EG99" s="32">
        <v>84</v>
      </c>
      <c r="EH99" s="32">
        <v>0</v>
      </c>
      <c r="EI99" s="32">
        <v>433</v>
      </c>
      <c r="EJ99" s="32">
        <v>0</v>
      </c>
      <c r="EK99" s="32">
        <v>40</v>
      </c>
      <c r="EL99" s="32">
        <v>40</v>
      </c>
      <c r="EM99" s="32">
        <v>37</v>
      </c>
      <c r="EN99" s="32">
        <v>3</v>
      </c>
      <c r="EO99" s="32">
        <v>12</v>
      </c>
      <c r="EP99" s="33">
        <v>16.600000000000001</v>
      </c>
      <c r="EQ99" s="33">
        <v>0</v>
      </c>
      <c r="ER99" s="33">
        <v>2.75</v>
      </c>
      <c r="ES99" s="33">
        <v>0</v>
      </c>
      <c r="ET99" s="33">
        <v>6.35</v>
      </c>
      <c r="EU99" s="33">
        <v>25.700000000000003</v>
      </c>
    </row>
    <row r="100" spans="1:151" ht="41.4" x14ac:dyDescent="0.3">
      <c r="A100" s="25" t="s">
        <v>145</v>
      </c>
      <c r="B100" s="26" t="s">
        <v>376</v>
      </c>
      <c r="C100" s="27" t="s">
        <v>708</v>
      </c>
      <c r="D100" s="27" t="s">
        <v>272</v>
      </c>
      <c r="E100" s="26" t="s">
        <v>504</v>
      </c>
      <c r="F100" s="26" t="s">
        <v>504</v>
      </c>
      <c r="G100" s="28">
        <v>48.266666666666666</v>
      </c>
      <c r="H100" s="28">
        <v>5.7</v>
      </c>
      <c r="I100" s="29">
        <v>0</v>
      </c>
      <c r="J100" s="29">
        <v>0</v>
      </c>
      <c r="K100" s="29">
        <v>0</v>
      </c>
      <c r="L100" s="29">
        <v>342</v>
      </c>
      <c r="M100" s="29">
        <v>342</v>
      </c>
      <c r="N100" s="29">
        <v>342</v>
      </c>
      <c r="O100" s="29">
        <v>0</v>
      </c>
      <c r="P100" s="29">
        <v>16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85.077777777777783</v>
      </c>
      <c r="AA100" s="27">
        <v>89.533333333333331</v>
      </c>
      <c r="AB100" s="27">
        <v>74.322222222222223</v>
      </c>
      <c r="AC100" s="27">
        <v>69.211111111111109</v>
      </c>
      <c r="AD100" s="27">
        <v>0</v>
      </c>
      <c r="AE100" s="27">
        <v>0</v>
      </c>
      <c r="AF100" s="27">
        <v>318.14444444444445</v>
      </c>
      <c r="AG100" s="27">
        <v>0</v>
      </c>
      <c r="AH100" s="27">
        <v>318.14444444444445</v>
      </c>
      <c r="AI100" s="27">
        <v>318.14444444444445</v>
      </c>
      <c r="AJ100" s="28">
        <v>46.005555555555553</v>
      </c>
      <c r="AK100" s="28">
        <v>17.172222222222221</v>
      </c>
      <c r="AL100" s="28">
        <v>63.177777777777777</v>
      </c>
      <c r="AM100" s="29">
        <v>0</v>
      </c>
      <c r="AN100" s="35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  <c r="AT100" s="27">
        <v>0</v>
      </c>
      <c r="AU100" s="27">
        <v>0</v>
      </c>
      <c r="AV100" s="27">
        <v>104</v>
      </c>
      <c r="AW100" s="27">
        <v>99</v>
      </c>
      <c r="AX100" s="27">
        <v>83</v>
      </c>
      <c r="AY100" s="27">
        <v>75</v>
      </c>
      <c r="AZ100" s="27">
        <v>0</v>
      </c>
      <c r="BA100" s="27">
        <v>0</v>
      </c>
      <c r="BB100" s="27">
        <v>361</v>
      </c>
      <c r="BC100" s="27">
        <v>0</v>
      </c>
      <c r="BD100" s="27">
        <v>361</v>
      </c>
      <c r="BE100" s="27">
        <v>361</v>
      </c>
      <c r="BF100" s="27">
        <v>0</v>
      </c>
      <c r="BG100" s="27">
        <v>0</v>
      </c>
      <c r="BH100" s="27">
        <v>2</v>
      </c>
      <c r="BI100" s="27">
        <v>170</v>
      </c>
      <c r="BJ100" s="27">
        <v>52</v>
      </c>
      <c r="BK100" s="29">
        <v>16</v>
      </c>
      <c r="BL100" s="29">
        <v>68</v>
      </c>
      <c r="BM100" s="29">
        <v>50</v>
      </c>
      <c r="BN100" s="30">
        <v>9.7908447142134536E-2</v>
      </c>
      <c r="BO100" s="31">
        <v>25.69</v>
      </c>
      <c r="BP100" s="31">
        <v>24.69</v>
      </c>
      <c r="BQ100" s="31">
        <v>24.69</v>
      </c>
      <c r="BR100" s="31">
        <v>25.690000000000005</v>
      </c>
      <c r="BS100" s="32">
        <v>0</v>
      </c>
      <c r="BT100" s="32">
        <v>0</v>
      </c>
      <c r="BU100" s="33">
        <v>0</v>
      </c>
      <c r="BV100" s="33">
        <v>0</v>
      </c>
      <c r="BW100" s="33">
        <v>0</v>
      </c>
      <c r="BX100" s="33">
        <v>0</v>
      </c>
      <c r="BY100" s="33">
        <v>0</v>
      </c>
      <c r="BZ100" s="33">
        <v>0</v>
      </c>
      <c r="CA100" s="33">
        <v>0</v>
      </c>
      <c r="CB100" s="33">
        <v>0</v>
      </c>
      <c r="CC100" s="33">
        <v>0</v>
      </c>
      <c r="CD100" s="33">
        <v>0</v>
      </c>
      <c r="CE100" s="33">
        <v>0</v>
      </c>
      <c r="CF100" s="33">
        <v>0</v>
      </c>
      <c r="CG100" s="33">
        <v>100.57777777777778</v>
      </c>
      <c r="CH100" s="33">
        <v>85.327777777777783</v>
      </c>
      <c r="CI100" s="33">
        <v>82.25555555555556</v>
      </c>
      <c r="CJ100" s="33">
        <v>71.416666666666671</v>
      </c>
      <c r="CK100" s="33">
        <v>0</v>
      </c>
      <c r="CL100" s="33">
        <v>0</v>
      </c>
      <c r="CM100" s="33">
        <v>339.57777777777784</v>
      </c>
      <c r="CN100" s="33">
        <v>0</v>
      </c>
      <c r="CO100" s="33">
        <v>339.57777777777784</v>
      </c>
      <c r="CP100" s="33">
        <v>339.57777777777784</v>
      </c>
      <c r="CQ100" s="33">
        <v>54.855555555555597</v>
      </c>
      <c r="CR100" s="33">
        <v>13.5833333333333</v>
      </c>
      <c r="CS100" s="33">
        <v>68.438888888888897</v>
      </c>
      <c r="CT100" s="33">
        <v>0</v>
      </c>
      <c r="CU100" s="33">
        <v>0</v>
      </c>
      <c r="CV100" s="32">
        <v>0</v>
      </c>
      <c r="CW100" s="32">
        <v>0</v>
      </c>
      <c r="CX100" s="32">
        <v>0</v>
      </c>
      <c r="CY100" s="32">
        <v>0</v>
      </c>
      <c r="CZ100" s="32">
        <v>0</v>
      </c>
      <c r="DA100" s="32">
        <v>0</v>
      </c>
      <c r="DB100" s="32">
        <v>0</v>
      </c>
      <c r="DC100" s="32">
        <v>0</v>
      </c>
      <c r="DD100" s="32">
        <v>0</v>
      </c>
      <c r="DE100" s="32">
        <v>0</v>
      </c>
      <c r="DF100" s="32">
        <v>100</v>
      </c>
      <c r="DG100" s="32">
        <v>97</v>
      </c>
      <c r="DH100" s="32">
        <v>88</v>
      </c>
      <c r="DI100" s="32">
        <v>81</v>
      </c>
      <c r="DJ100" s="32">
        <v>0</v>
      </c>
      <c r="DK100" s="32">
        <v>0</v>
      </c>
      <c r="DL100" s="32">
        <v>366</v>
      </c>
      <c r="DM100" s="32">
        <v>0</v>
      </c>
      <c r="DN100" s="32">
        <v>366</v>
      </c>
      <c r="DO100" s="32">
        <v>366</v>
      </c>
      <c r="DP100" s="32">
        <v>2</v>
      </c>
      <c r="DQ100" s="32">
        <v>166</v>
      </c>
      <c r="DR100" s="32">
        <v>77</v>
      </c>
      <c r="DS100" s="32">
        <v>7</v>
      </c>
      <c r="DT100" s="32">
        <v>84</v>
      </c>
      <c r="DU100" s="32">
        <v>64</v>
      </c>
      <c r="DV100" s="33">
        <v>27.27</v>
      </c>
      <c r="DW100" s="33">
        <v>26.27</v>
      </c>
      <c r="DX100" s="33">
        <v>0</v>
      </c>
      <c r="DY100" s="33">
        <v>21.878999999999998</v>
      </c>
      <c r="DZ100" s="33">
        <v>0</v>
      </c>
      <c r="EA100" s="33">
        <v>27.27</v>
      </c>
      <c r="EB100" s="34">
        <v>0.10012541888917537</v>
      </c>
      <c r="EC100" s="32"/>
      <c r="ED100" s="32">
        <v>0</v>
      </c>
      <c r="EE100" s="32">
        <v>365</v>
      </c>
      <c r="EF100" s="32">
        <v>0</v>
      </c>
      <c r="EG100" s="32">
        <v>0</v>
      </c>
      <c r="EH100" s="32">
        <v>365</v>
      </c>
      <c r="EI100" s="32">
        <v>365</v>
      </c>
      <c r="EJ100" s="32">
        <v>0</v>
      </c>
      <c r="EK100" s="32">
        <v>79</v>
      </c>
      <c r="EL100" s="32">
        <v>79</v>
      </c>
      <c r="EM100" s="32">
        <v>72</v>
      </c>
      <c r="EN100" s="32">
        <v>7</v>
      </c>
      <c r="EO100" s="32">
        <v>0</v>
      </c>
      <c r="EP100" s="33">
        <v>4</v>
      </c>
      <c r="EQ100" s="33">
        <v>0</v>
      </c>
      <c r="ER100" s="33">
        <v>2.39</v>
      </c>
      <c r="ES100" s="33">
        <v>1</v>
      </c>
      <c r="ET100" s="33">
        <v>6</v>
      </c>
      <c r="EU100" s="33">
        <v>13.39</v>
      </c>
    </row>
    <row r="101" spans="1:151" ht="41.4" x14ac:dyDescent="0.3">
      <c r="A101" s="25" t="s">
        <v>163</v>
      </c>
      <c r="B101" s="26" t="s">
        <v>388</v>
      </c>
      <c r="C101" s="27" t="s">
        <v>164</v>
      </c>
      <c r="D101" s="27" t="s">
        <v>272</v>
      </c>
      <c r="E101" s="26" t="s">
        <v>504</v>
      </c>
      <c r="F101" s="26" t="s">
        <v>504</v>
      </c>
      <c r="G101" s="28">
        <v>65.483333333333334</v>
      </c>
      <c r="H101" s="28">
        <v>3.4555555555555557</v>
      </c>
      <c r="I101" s="29">
        <v>52</v>
      </c>
      <c r="J101" s="29">
        <v>255</v>
      </c>
      <c r="K101" s="29">
        <v>49</v>
      </c>
      <c r="L101" s="29">
        <v>23</v>
      </c>
      <c r="M101" s="29">
        <v>379</v>
      </c>
      <c r="N101" s="29">
        <v>327</v>
      </c>
      <c r="O101" s="29">
        <v>356</v>
      </c>
      <c r="P101" s="29">
        <v>3</v>
      </c>
      <c r="Q101" s="27">
        <v>54.322222222222223</v>
      </c>
      <c r="R101" s="27">
        <v>45.06666666666667</v>
      </c>
      <c r="S101" s="27">
        <v>44.5</v>
      </c>
      <c r="T101" s="27">
        <v>47.8</v>
      </c>
      <c r="U101" s="27">
        <v>30.588888888888889</v>
      </c>
      <c r="V101" s="27">
        <v>37.511111111111113</v>
      </c>
      <c r="W101" s="27">
        <v>47.022222222222226</v>
      </c>
      <c r="X101" s="27">
        <v>25.238888888888887</v>
      </c>
      <c r="Y101" s="27">
        <v>23.427777777777777</v>
      </c>
      <c r="Z101" s="27">
        <v>21.988888888888887</v>
      </c>
      <c r="AA101" s="27">
        <v>0</v>
      </c>
      <c r="AB101" s="27">
        <v>0</v>
      </c>
      <c r="AC101" s="27">
        <v>0</v>
      </c>
      <c r="AD101" s="27">
        <v>252.48888888888894</v>
      </c>
      <c r="AE101" s="27">
        <v>48.666666666666664</v>
      </c>
      <c r="AF101" s="27">
        <v>21.988888888888887</v>
      </c>
      <c r="AG101" s="27">
        <v>355.47777777777776</v>
      </c>
      <c r="AH101" s="27">
        <v>323.14444444444445</v>
      </c>
      <c r="AI101" s="27">
        <v>377.46666666666664</v>
      </c>
      <c r="AJ101" s="28">
        <v>83.311111111111117</v>
      </c>
      <c r="AK101" s="28">
        <v>2.5722222222222224</v>
      </c>
      <c r="AL101" s="28">
        <v>85.88333333333334</v>
      </c>
      <c r="AM101" s="29">
        <v>69</v>
      </c>
      <c r="AN101" s="35">
        <v>53</v>
      </c>
      <c r="AO101" s="27">
        <v>45</v>
      </c>
      <c r="AP101" s="27">
        <v>44</v>
      </c>
      <c r="AQ101" s="27">
        <v>43</v>
      </c>
      <c r="AR101" s="27">
        <v>30</v>
      </c>
      <c r="AS101" s="27">
        <v>37</v>
      </c>
      <c r="AT101" s="27">
        <v>37</v>
      </c>
      <c r="AU101" s="27">
        <v>29</v>
      </c>
      <c r="AV101" s="27">
        <v>20</v>
      </c>
      <c r="AW101" s="27">
        <v>0</v>
      </c>
      <c r="AX101" s="27">
        <v>0</v>
      </c>
      <c r="AY101" s="27">
        <v>0</v>
      </c>
      <c r="AZ101" s="27">
        <v>252</v>
      </c>
      <c r="BA101" s="27">
        <v>66</v>
      </c>
      <c r="BB101" s="27">
        <v>20</v>
      </c>
      <c r="BC101" s="27">
        <v>387</v>
      </c>
      <c r="BD101" s="27">
        <v>338</v>
      </c>
      <c r="BE101" s="27">
        <v>407</v>
      </c>
      <c r="BF101" s="27">
        <v>68</v>
      </c>
      <c r="BG101" s="27">
        <v>1</v>
      </c>
      <c r="BH101" s="27">
        <v>0</v>
      </c>
      <c r="BI101" s="27">
        <v>3</v>
      </c>
      <c r="BJ101" s="27">
        <v>76</v>
      </c>
      <c r="BK101" s="29">
        <v>2</v>
      </c>
      <c r="BL101" s="29">
        <v>78</v>
      </c>
      <c r="BM101" s="29">
        <v>19</v>
      </c>
      <c r="BN101" s="30">
        <v>6.865412481886779E-2</v>
      </c>
      <c r="BO101" s="31">
        <v>25.5</v>
      </c>
      <c r="BP101" s="31">
        <v>25.5</v>
      </c>
      <c r="BQ101" s="31">
        <v>25.5</v>
      </c>
      <c r="BR101" s="31">
        <v>25.5</v>
      </c>
      <c r="BS101" s="32">
        <v>0</v>
      </c>
      <c r="BT101" s="32">
        <v>0</v>
      </c>
      <c r="BU101" s="33">
        <v>0</v>
      </c>
      <c r="BV101" s="33">
        <v>0</v>
      </c>
      <c r="BW101" s="33">
        <v>67.138887999999994</v>
      </c>
      <c r="BX101" s="33">
        <v>67.138888888888886</v>
      </c>
      <c r="BY101" s="33">
        <v>48.422222222222224</v>
      </c>
      <c r="BZ101" s="33">
        <v>42.12777777777778</v>
      </c>
      <c r="CA101" s="33">
        <v>42.138888888888886</v>
      </c>
      <c r="CB101" s="33">
        <v>42.583333333333336</v>
      </c>
      <c r="CC101" s="33">
        <v>29.355555555555554</v>
      </c>
      <c r="CD101" s="33">
        <v>34.416666666666664</v>
      </c>
      <c r="CE101" s="33">
        <v>35.011111111111113</v>
      </c>
      <c r="CF101" s="33">
        <v>27.822222222222223</v>
      </c>
      <c r="CG101" s="33">
        <v>18.483333333333334</v>
      </c>
      <c r="CH101" s="33">
        <v>0</v>
      </c>
      <c r="CI101" s="33">
        <v>0</v>
      </c>
      <c r="CJ101" s="33">
        <v>0</v>
      </c>
      <c r="CK101" s="33">
        <v>239.04444444444445</v>
      </c>
      <c r="CL101" s="33">
        <v>62.833333333333336</v>
      </c>
      <c r="CM101" s="33">
        <v>18.483333333333334</v>
      </c>
      <c r="CN101" s="33">
        <v>369.01666666666665</v>
      </c>
      <c r="CO101" s="33">
        <v>320.36111111111109</v>
      </c>
      <c r="CP101" s="33">
        <v>387.5</v>
      </c>
      <c r="CQ101" s="33">
        <v>78.711111111111094</v>
      </c>
      <c r="CR101" s="33">
        <v>2.3444444444444401</v>
      </c>
      <c r="CS101" s="33">
        <v>81.055555555555529</v>
      </c>
      <c r="CT101" s="33">
        <v>0</v>
      </c>
      <c r="CU101" s="33">
        <v>50</v>
      </c>
      <c r="CV101" s="32">
        <v>0</v>
      </c>
      <c r="CW101" s="32">
        <v>50</v>
      </c>
      <c r="CX101" s="32">
        <v>62</v>
      </c>
      <c r="CY101" s="32">
        <v>55</v>
      </c>
      <c r="CZ101" s="32">
        <v>35</v>
      </c>
      <c r="DA101" s="32">
        <v>42</v>
      </c>
      <c r="DB101" s="32">
        <v>44</v>
      </c>
      <c r="DC101" s="32">
        <v>29</v>
      </c>
      <c r="DD101" s="32">
        <v>30</v>
      </c>
      <c r="DE101" s="32">
        <v>31</v>
      </c>
      <c r="DF101" s="32">
        <v>24</v>
      </c>
      <c r="DG101" s="32">
        <v>0</v>
      </c>
      <c r="DH101" s="32">
        <v>0</v>
      </c>
      <c r="DI101" s="32">
        <v>0</v>
      </c>
      <c r="DJ101" s="32">
        <v>267</v>
      </c>
      <c r="DK101" s="32">
        <v>61</v>
      </c>
      <c r="DL101" s="32">
        <v>24</v>
      </c>
      <c r="DM101" s="32">
        <v>378</v>
      </c>
      <c r="DN101" s="32">
        <v>352</v>
      </c>
      <c r="DO101" s="32">
        <v>402</v>
      </c>
      <c r="DP101" s="32">
        <v>0</v>
      </c>
      <c r="DQ101" s="32">
        <v>34</v>
      </c>
      <c r="DR101" s="32">
        <v>96</v>
      </c>
      <c r="DS101" s="32">
        <v>2</v>
      </c>
      <c r="DT101" s="32">
        <v>98</v>
      </c>
      <c r="DU101" s="32">
        <v>26</v>
      </c>
      <c r="DV101" s="33">
        <v>29</v>
      </c>
      <c r="DW101" s="33">
        <v>28</v>
      </c>
      <c r="DX101" s="33">
        <v>16.97</v>
      </c>
      <c r="DY101" s="33">
        <v>6.9400000000000013</v>
      </c>
      <c r="DZ101" s="33">
        <v>0</v>
      </c>
      <c r="EA101" s="33">
        <v>30</v>
      </c>
      <c r="EB101" s="34">
        <v>6.4583333333333437E-2</v>
      </c>
      <c r="EC101" s="32"/>
      <c r="ED101" s="32">
        <v>49</v>
      </c>
      <c r="EE101" s="32">
        <v>350</v>
      </c>
      <c r="EF101" s="32">
        <v>266</v>
      </c>
      <c r="EG101" s="32">
        <v>60</v>
      </c>
      <c r="EH101" s="32">
        <v>24</v>
      </c>
      <c r="EI101" s="32">
        <v>399</v>
      </c>
      <c r="EJ101" s="32">
        <v>0</v>
      </c>
      <c r="EK101" s="32">
        <v>98</v>
      </c>
      <c r="EL101" s="32">
        <v>98</v>
      </c>
      <c r="EM101" s="32">
        <v>96</v>
      </c>
      <c r="EN101" s="32">
        <v>2</v>
      </c>
      <c r="EO101" s="32">
        <v>7</v>
      </c>
      <c r="EP101" s="33">
        <v>16.225000000000001</v>
      </c>
      <c r="EQ101" s="33">
        <v>0</v>
      </c>
      <c r="ER101" s="33">
        <v>1.875</v>
      </c>
      <c r="ES101" s="33">
        <v>0.5</v>
      </c>
      <c r="ET101" s="33">
        <v>0</v>
      </c>
      <c r="EU101" s="33">
        <v>18.600000000000001</v>
      </c>
    </row>
    <row r="102" spans="1:151" ht="69" x14ac:dyDescent="0.3">
      <c r="A102" s="25" t="s">
        <v>190</v>
      </c>
      <c r="B102" s="26" t="s">
        <v>412</v>
      </c>
      <c r="C102" s="27" t="s">
        <v>709</v>
      </c>
      <c r="D102" s="27" t="s">
        <v>272</v>
      </c>
      <c r="E102" s="26" t="s">
        <v>504</v>
      </c>
      <c r="F102" s="26" t="s">
        <v>504</v>
      </c>
      <c r="G102" s="28">
        <v>21.105555555555554</v>
      </c>
      <c r="H102" s="28">
        <v>0</v>
      </c>
      <c r="I102" s="29">
        <v>27</v>
      </c>
      <c r="J102" s="29">
        <v>158</v>
      </c>
      <c r="K102" s="29">
        <v>56</v>
      </c>
      <c r="L102" s="29">
        <v>56</v>
      </c>
      <c r="M102" s="29">
        <v>297</v>
      </c>
      <c r="N102" s="29">
        <v>270</v>
      </c>
      <c r="O102" s="29">
        <v>241</v>
      </c>
      <c r="P102" s="29">
        <v>0</v>
      </c>
      <c r="Q102" s="27">
        <v>25.988888888888887</v>
      </c>
      <c r="R102" s="27">
        <v>22.461111111111112</v>
      </c>
      <c r="S102" s="27">
        <v>23.55</v>
      </c>
      <c r="T102" s="27">
        <v>29.55</v>
      </c>
      <c r="U102" s="27">
        <v>28.45</v>
      </c>
      <c r="V102" s="27">
        <v>18.127777777777776</v>
      </c>
      <c r="W102" s="27">
        <v>30.511111111111113</v>
      </c>
      <c r="X102" s="27">
        <v>30.8</v>
      </c>
      <c r="Y102" s="27">
        <v>22.894444444444446</v>
      </c>
      <c r="Z102" s="27">
        <v>15</v>
      </c>
      <c r="AA102" s="27">
        <v>13.666666666666666</v>
      </c>
      <c r="AB102" s="27">
        <v>14.6</v>
      </c>
      <c r="AC102" s="27">
        <v>11.5</v>
      </c>
      <c r="AD102" s="27">
        <v>152.65</v>
      </c>
      <c r="AE102" s="27">
        <v>53.694444444444443</v>
      </c>
      <c r="AF102" s="27">
        <v>54.766666666666666</v>
      </c>
      <c r="AG102" s="27">
        <v>232.33333333333334</v>
      </c>
      <c r="AH102" s="27">
        <v>261.11111111111109</v>
      </c>
      <c r="AI102" s="27">
        <v>287.10000000000002</v>
      </c>
      <c r="AJ102" s="28">
        <v>15.2</v>
      </c>
      <c r="AK102" s="28">
        <v>0</v>
      </c>
      <c r="AL102" s="28">
        <v>15.2</v>
      </c>
      <c r="AM102" s="29">
        <v>24</v>
      </c>
      <c r="AN102" s="35">
        <v>27</v>
      </c>
      <c r="AO102" s="27">
        <v>25</v>
      </c>
      <c r="AP102" s="27">
        <v>26</v>
      </c>
      <c r="AQ102" s="27">
        <v>29</v>
      </c>
      <c r="AR102" s="27">
        <v>31</v>
      </c>
      <c r="AS102" s="27">
        <v>18</v>
      </c>
      <c r="AT102" s="27">
        <v>31</v>
      </c>
      <c r="AU102" s="27">
        <v>31</v>
      </c>
      <c r="AV102" s="27">
        <v>15</v>
      </c>
      <c r="AW102" s="27">
        <v>14</v>
      </c>
      <c r="AX102" s="27">
        <v>10</v>
      </c>
      <c r="AY102" s="27">
        <v>14</v>
      </c>
      <c r="AZ102" s="27">
        <v>156</v>
      </c>
      <c r="BA102" s="27">
        <v>62</v>
      </c>
      <c r="BB102" s="27">
        <v>53</v>
      </c>
      <c r="BC102" s="27">
        <v>242</v>
      </c>
      <c r="BD102" s="27">
        <v>271</v>
      </c>
      <c r="BE102" s="27">
        <v>295</v>
      </c>
      <c r="BF102" s="27">
        <v>24</v>
      </c>
      <c r="BG102" s="27">
        <v>0</v>
      </c>
      <c r="BH102" s="27">
        <v>0</v>
      </c>
      <c r="BI102" s="27">
        <v>129</v>
      </c>
      <c r="BJ102" s="27">
        <v>13</v>
      </c>
      <c r="BK102" s="29">
        <v>0</v>
      </c>
      <c r="BL102" s="29">
        <v>13</v>
      </c>
      <c r="BM102" s="29">
        <v>25</v>
      </c>
      <c r="BN102" s="30">
        <v>4.9816968130921624E-2</v>
      </c>
      <c r="BO102" s="31">
        <v>10.37</v>
      </c>
      <c r="BP102" s="31">
        <v>8.9850000000000012</v>
      </c>
      <c r="BQ102" s="31">
        <v>8.9850000000000012</v>
      </c>
      <c r="BR102" s="31">
        <v>11.87</v>
      </c>
      <c r="BS102" s="32">
        <v>0</v>
      </c>
      <c r="BT102" s="32">
        <v>0</v>
      </c>
      <c r="BU102" s="33">
        <v>0</v>
      </c>
      <c r="BV102" s="33">
        <v>0</v>
      </c>
      <c r="BW102" s="33">
        <v>23.466666</v>
      </c>
      <c r="BX102" s="33">
        <v>23.466666666666665</v>
      </c>
      <c r="BY102" s="33">
        <v>26.466666666666665</v>
      </c>
      <c r="BZ102" s="33">
        <v>25.094444444444445</v>
      </c>
      <c r="CA102" s="33">
        <v>25.011111111111113</v>
      </c>
      <c r="CB102" s="33">
        <v>27.911111111111111</v>
      </c>
      <c r="CC102" s="33">
        <v>30.894444444444446</v>
      </c>
      <c r="CD102" s="33">
        <v>17.255555555555556</v>
      </c>
      <c r="CE102" s="33">
        <v>30.655555555555555</v>
      </c>
      <c r="CF102" s="33">
        <v>30.18888888888889</v>
      </c>
      <c r="CG102" s="33">
        <v>14.277777777777779</v>
      </c>
      <c r="CH102" s="33">
        <v>14.061111111111112</v>
      </c>
      <c r="CI102" s="33">
        <v>9.2611111111111111</v>
      </c>
      <c r="CJ102" s="33">
        <v>14</v>
      </c>
      <c r="CK102" s="33">
        <v>152.63333333333335</v>
      </c>
      <c r="CL102" s="33">
        <v>60.844444444444449</v>
      </c>
      <c r="CM102" s="33">
        <v>51.6</v>
      </c>
      <c r="CN102" s="33">
        <v>236.94444444444446</v>
      </c>
      <c r="CO102" s="33">
        <v>265.07777777777778</v>
      </c>
      <c r="CP102" s="33">
        <v>288.54444444444448</v>
      </c>
      <c r="CQ102" s="33">
        <v>12.594444444444401</v>
      </c>
      <c r="CR102" s="33">
        <v>0</v>
      </c>
      <c r="CS102" s="33">
        <v>12.594444444444401</v>
      </c>
      <c r="CT102" s="33">
        <v>0</v>
      </c>
      <c r="CU102" s="33">
        <v>26</v>
      </c>
      <c r="CV102" s="32">
        <v>0</v>
      </c>
      <c r="CW102" s="32">
        <v>26</v>
      </c>
      <c r="CX102" s="32">
        <v>24</v>
      </c>
      <c r="CY102" s="32">
        <v>26</v>
      </c>
      <c r="CZ102" s="32">
        <v>27</v>
      </c>
      <c r="DA102" s="32">
        <v>26</v>
      </c>
      <c r="DB102" s="32">
        <v>33</v>
      </c>
      <c r="DC102" s="32">
        <v>33</v>
      </c>
      <c r="DD102" s="32">
        <v>15</v>
      </c>
      <c r="DE102" s="32">
        <v>31</v>
      </c>
      <c r="DF102" s="32">
        <v>24</v>
      </c>
      <c r="DG102" s="32">
        <v>14</v>
      </c>
      <c r="DH102" s="32">
        <v>14</v>
      </c>
      <c r="DI102" s="32">
        <v>8</v>
      </c>
      <c r="DJ102" s="32">
        <v>169</v>
      </c>
      <c r="DK102" s="32">
        <v>46</v>
      </c>
      <c r="DL102" s="32">
        <v>60</v>
      </c>
      <c r="DM102" s="32">
        <v>241</v>
      </c>
      <c r="DN102" s="32">
        <v>275</v>
      </c>
      <c r="DO102" s="32">
        <v>301</v>
      </c>
      <c r="DP102" s="32">
        <v>0</v>
      </c>
      <c r="DQ102" s="32">
        <v>300</v>
      </c>
      <c r="DR102" s="32">
        <v>13</v>
      </c>
      <c r="DS102" s="32">
        <v>0</v>
      </c>
      <c r="DT102" s="32">
        <v>13</v>
      </c>
      <c r="DU102" s="32">
        <v>23</v>
      </c>
      <c r="DV102" s="33">
        <v>15.87</v>
      </c>
      <c r="DW102" s="33">
        <v>14.485000000000001</v>
      </c>
      <c r="DX102" s="33">
        <v>6.4249999999999998</v>
      </c>
      <c r="DY102" s="33">
        <v>8.0599999999999987</v>
      </c>
      <c r="DZ102" s="33">
        <v>0</v>
      </c>
      <c r="EA102" s="33">
        <v>15.870000000000001</v>
      </c>
      <c r="EB102" s="34">
        <v>6.6666666666666652E-2</v>
      </c>
      <c r="EC102" s="32"/>
      <c r="ED102" s="32">
        <v>26</v>
      </c>
      <c r="EE102" s="32">
        <v>274</v>
      </c>
      <c r="EF102" s="32">
        <v>160</v>
      </c>
      <c r="EG102" s="32">
        <v>57</v>
      </c>
      <c r="EH102" s="32">
        <v>57</v>
      </c>
      <c r="EI102" s="32">
        <v>300</v>
      </c>
      <c r="EJ102" s="32">
        <v>0</v>
      </c>
      <c r="EK102" s="32">
        <v>13</v>
      </c>
      <c r="EL102" s="32">
        <v>13</v>
      </c>
      <c r="EM102" s="32">
        <v>13</v>
      </c>
      <c r="EN102" s="32">
        <v>0</v>
      </c>
      <c r="EO102" s="32">
        <v>0</v>
      </c>
      <c r="EP102" s="33">
        <v>11.5</v>
      </c>
      <c r="EQ102" s="33">
        <v>0</v>
      </c>
      <c r="ER102" s="33">
        <v>3.2</v>
      </c>
      <c r="ES102" s="33">
        <v>0</v>
      </c>
      <c r="ET102" s="33">
        <v>3.5</v>
      </c>
      <c r="EU102" s="33">
        <v>18.2</v>
      </c>
    </row>
    <row r="103" spans="1:151" ht="27.6" x14ac:dyDescent="0.3">
      <c r="A103" s="25" t="s">
        <v>219</v>
      </c>
      <c r="B103" s="26" t="s">
        <v>435</v>
      </c>
      <c r="C103" s="27" t="s">
        <v>220</v>
      </c>
      <c r="D103" s="27" t="s">
        <v>272</v>
      </c>
      <c r="E103" s="26" t="s">
        <v>504</v>
      </c>
      <c r="F103" s="26" t="s">
        <v>504</v>
      </c>
      <c r="G103" s="28">
        <v>120.14444444444445</v>
      </c>
      <c r="H103" s="28">
        <v>2.7611111111111111</v>
      </c>
      <c r="I103" s="29">
        <v>62</v>
      </c>
      <c r="J103" s="29">
        <v>354</v>
      </c>
      <c r="K103" s="29">
        <v>91</v>
      </c>
      <c r="L103" s="29">
        <v>0</v>
      </c>
      <c r="M103" s="29">
        <v>507</v>
      </c>
      <c r="N103" s="29">
        <v>445</v>
      </c>
      <c r="O103" s="29">
        <v>507</v>
      </c>
      <c r="P103" s="29">
        <v>2</v>
      </c>
      <c r="Q103" s="27">
        <v>64.033333333333331</v>
      </c>
      <c r="R103" s="27">
        <v>57.016666666666666</v>
      </c>
      <c r="S103" s="27">
        <v>57.494444444444447</v>
      </c>
      <c r="T103" s="27">
        <v>52.272222222222226</v>
      </c>
      <c r="U103" s="27">
        <v>72.094444444444449</v>
      </c>
      <c r="V103" s="27">
        <v>45.966666666666669</v>
      </c>
      <c r="W103" s="27">
        <v>57.9</v>
      </c>
      <c r="X103" s="27">
        <v>44.883333333333333</v>
      </c>
      <c r="Y103" s="27">
        <v>41.983333333333334</v>
      </c>
      <c r="Z103" s="27">
        <v>0</v>
      </c>
      <c r="AA103" s="27">
        <v>0</v>
      </c>
      <c r="AB103" s="27">
        <v>0</v>
      </c>
      <c r="AC103" s="27">
        <v>0</v>
      </c>
      <c r="AD103" s="27">
        <v>342.74444444444441</v>
      </c>
      <c r="AE103" s="27">
        <v>86.866666666666674</v>
      </c>
      <c r="AF103" s="27">
        <v>0</v>
      </c>
      <c r="AG103" s="27">
        <v>493.64444444444439</v>
      </c>
      <c r="AH103" s="27">
        <v>429.61111111111109</v>
      </c>
      <c r="AI103" s="27">
        <v>493.64444444444439</v>
      </c>
      <c r="AJ103" s="28">
        <v>95.938888888888883</v>
      </c>
      <c r="AK103" s="28">
        <v>2.3166666666666669</v>
      </c>
      <c r="AL103" s="28">
        <v>98.255555555555546</v>
      </c>
      <c r="AM103" s="29">
        <v>62</v>
      </c>
      <c r="AN103" s="35">
        <v>51</v>
      </c>
      <c r="AO103" s="27">
        <v>56</v>
      </c>
      <c r="AP103" s="27">
        <v>65</v>
      </c>
      <c r="AQ103" s="27">
        <v>66</v>
      </c>
      <c r="AR103" s="27">
        <v>69</v>
      </c>
      <c r="AS103" s="27">
        <v>52</v>
      </c>
      <c r="AT103" s="27">
        <v>55</v>
      </c>
      <c r="AU103" s="27">
        <v>42</v>
      </c>
      <c r="AV103" s="27">
        <v>0</v>
      </c>
      <c r="AW103" s="27">
        <v>0</v>
      </c>
      <c r="AX103" s="27">
        <v>0</v>
      </c>
      <c r="AY103" s="27">
        <v>0</v>
      </c>
      <c r="AZ103" s="27">
        <v>359</v>
      </c>
      <c r="BA103" s="27">
        <v>97</v>
      </c>
      <c r="BB103" s="27">
        <v>0</v>
      </c>
      <c r="BC103" s="27">
        <v>518</v>
      </c>
      <c r="BD103" s="27">
        <v>456</v>
      </c>
      <c r="BE103" s="27">
        <v>518</v>
      </c>
      <c r="BF103" s="27">
        <v>62</v>
      </c>
      <c r="BG103" s="27">
        <v>0</v>
      </c>
      <c r="BH103" s="27">
        <v>0</v>
      </c>
      <c r="BI103" s="27">
        <v>193</v>
      </c>
      <c r="BJ103" s="27">
        <v>99</v>
      </c>
      <c r="BK103" s="29">
        <v>2</v>
      </c>
      <c r="BL103" s="29">
        <v>101</v>
      </c>
      <c r="BM103" s="29">
        <v>0</v>
      </c>
      <c r="BN103" s="30">
        <v>5.7279217224705803E-2</v>
      </c>
      <c r="BO103" s="31">
        <v>25</v>
      </c>
      <c r="BP103" s="31">
        <v>22</v>
      </c>
      <c r="BQ103" s="31">
        <v>22</v>
      </c>
      <c r="BR103" s="31">
        <v>28</v>
      </c>
      <c r="BS103" s="32">
        <v>385</v>
      </c>
      <c r="BT103" s="32">
        <v>284</v>
      </c>
      <c r="BU103" s="33">
        <v>399.36111099999999</v>
      </c>
      <c r="BV103" s="33">
        <v>5.144444</v>
      </c>
      <c r="BW103" s="33">
        <v>62.316665999999998</v>
      </c>
      <c r="BX103" s="33">
        <v>67.461111111111109</v>
      </c>
      <c r="BY103" s="33">
        <v>54.494444444444447</v>
      </c>
      <c r="BZ103" s="33">
        <v>58.12777777777778</v>
      </c>
      <c r="CA103" s="33">
        <v>67.95</v>
      </c>
      <c r="CB103" s="33">
        <v>65.36666666666666</v>
      </c>
      <c r="CC103" s="33">
        <v>70.288888888888891</v>
      </c>
      <c r="CD103" s="33">
        <v>52.211111111111109</v>
      </c>
      <c r="CE103" s="33">
        <v>51.033333333333331</v>
      </c>
      <c r="CF103" s="33">
        <v>40.644444444444446</v>
      </c>
      <c r="CG103" s="33">
        <v>0</v>
      </c>
      <c r="CH103" s="33">
        <v>0</v>
      </c>
      <c r="CI103" s="33">
        <v>0</v>
      </c>
      <c r="CJ103" s="33">
        <v>0</v>
      </c>
      <c r="CK103" s="33">
        <v>368.43888888888893</v>
      </c>
      <c r="CL103" s="33">
        <v>91.677777777777777</v>
      </c>
      <c r="CM103" s="33">
        <v>0</v>
      </c>
      <c r="CN103" s="33">
        <v>527.57777777777778</v>
      </c>
      <c r="CO103" s="33">
        <v>460.11666666666673</v>
      </c>
      <c r="CP103" s="33">
        <v>527.57777777777778</v>
      </c>
      <c r="CQ103" s="33">
        <v>102.2</v>
      </c>
      <c r="CR103" s="33">
        <v>2</v>
      </c>
      <c r="CS103" s="33">
        <v>104.2</v>
      </c>
      <c r="CT103" s="33">
        <v>427.03888799999999</v>
      </c>
      <c r="CU103" s="33">
        <v>78</v>
      </c>
      <c r="CV103" s="32">
        <v>0</v>
      </c>
      <c r="CW103" s="32">
        <v>78</v>
      </c>
      <c r="CX103" s="32">
        <v>81</v>
      </c>
      <c r="CY103" s="32">
        <v>55</v>
      </c>
      <c r="CZ103" s="32">
        <v>64</v>
      </c>
      <c r="DA103" s="32">
        <v>71</v>
      </c>
      <c r="DB103" s="32">
        <v>57</v>
      </c>
      <c r="DC103" s="32">
        <v>73</v>
      </c>
      <c r="DD103" s="32">
        <v>53</v>
      </c>
      <c r="DE103" s="32">
        <v>41</v>
      </c>
      <c r="DF103" s="32">
        <v>0</v>
      </c>
      <c r="DG103" s="32">
        <v>0</v>
      </c>
      <c r="DH103" s="32">
        <v>0</v>
      </c>
      <c r="DI103" s="32">
        <v>0</v>
      </c>
      <c r="DJ103" s="32">
        <v>401</v>
      </c>
      <c r="DK103" s="32">
        <v>94</v>
      </c>
      <c r="DL103" s="32">
        <v>0</v>
      </c>
      <c r="DM103" s="32">
        <v>573</v>
      </c>
      <c r="DN103" s="32">
        <v>495</v>
      </c>
      <c r="DO103" s="32">
        <v>573</v>
      </c>
      <c r="DP103" s="32">
        <v>0</v>
      </c>
      <c r="DQ103" s="32">
        <v>166</v>
      </c>
      <c r="DR103" s="32">
        <v>102</v>
      </c>
      <c r="DS103" s="32">
        <v>4</v>
      </c>
      <c r="DT103" s="32">
        <v>106</v>
      </c>
      <c r="DU103" s="32">
        <v>0</v>
      </c>
      <c r="DV103" s="33">
        <v>23.95</v>
      </c>
      <c r="DW103" s="33">
        <v>20.95</v>
      </c>
      <c r="DX103" s="33">
        <v>16.360000000000003</v>
      </c>
      <c r="DY103" s="33">
        <v>4.59</v>
      </c>
      <c r="DZ103" s="33">
        <v>0</v>
      </c>
      <c r="EA103" s="33">
        <v>24.95</v>
      </c>
      <c r="EB103" s="34">
        <v>5.9000000000000052E-2</v>
      </c>
      <c r="EC103" s="32"/>
      <c r="ED103" s="32">
        <v>76</v>
      </c>
      <c r="EE103" s="32">
        <v>494</v>
      </c>
      <c r="EF103" s="32">
        <v>402</v>
      </c>
      <c r="EG103" s="32">
        <v>92</v>
      </c>
      <c r="EH103" s="32">
        <v>0</v>
      </c>
      <c r="EI103" s="32">
        <v>570</v>
      </c>
      <c r="EJ103" s="32">
        <v>0</v>
      </c>
      <c r="EK103" s="32">
        <v>104</v>
      </c>
      <c r="EL103" s="32">
        <v>104</v>
      </c>
      <c r="EM103" s="32">
        <v>98</v>
      </c>
      <c r="EN103" s="32">
        <v>6</v>
      </c>
      <c r="EO103" s="32">
        <v>21</v>
      </c>
      <c r="EP103" s="33">
        <v>14.75</v>
      </c>
      <c r="EQ103" s="33">
        <v>0</v>
      </c>
      <c r="ER103" s="33">
        <v>3.25</v>
      </c>
      <c r="ES103" s="33">
        <v>0</v>
      </c>
      <c r="ET103" s="33">
        <v>1.5</v>
      </c>
      <c r="EU103" s="33">
        <v>19.5</v>
      </c>
    </row>
    <row r="104" spans="1:151" ht="41.4" x14ac:dyDescent="0.3">
      <c r="A104" s="25" t="s">
        <v>250</v>
      </c>
      <c r="B104" s="26" t="s">
        <v>452</v>
      </c>
      <c r="C104" s="27" t="s">
        <v>251</v>
      </c>
      <c r="D104" s="27" t="s">
        <v>272</v>
      </c>
      <c r="E104" s="26" t="s">
        <v>504</v>
      </c>
      <c r="F104" s="26" t="s">
        <v>504</v>
      </c>
      <c r="G104" s="28">
        <v>36.4</v>
      </c>
      <c r="H104" s="28">
        <v>0.68333333333333335</v>
      </c>
      <c r="I104" s="29">
        <v>60</v>
      </c>
      <c r="J104" s="29">
        <v>399</v>
      </c>
      <c r="K104" s="29">
        <v>48</v>
      </c>
      <c r="L104" s="29">
        <v>0</v>
      </c>
      <c r="M104" s="29">
        <v>507</v>
      </c>
      <c r="N104" s="29">
        <v>447</v>
      </c>
      <c r="O104" s="29">
        <v>507</v>
      </c>
      <c r="P104" s="29">
        <v>0</v>
      </c>
      <c r="Q104" s="27">
        <v>59.37222222222222</v>
      </c>
      <c r="R104" s="27">
        <v>80.516666666666666</v>
      </c>
      <c r="S104" s="27">
        <v>58.644444444444446</v>
      </c>
      <c r="T104" s="27">
        <v>77.694444444444443</v>
      </c>
      <c r="U104" s="27">
        <v>58.366666666666667</v>
      </c>
      <c r="V104" s="27">
        <v>54.961111111111109</v>
      </c>
      <c r="W104" s="27">
        <v>54.111111111111114</v>
      </c>
      <c r="X104" s="27">
        <v>25.627777777777776</v>
      </c>
      <c r="Y104" s="27">
        <v>21.088888888888889</v>
      </c>
      <c r="Z104" s="27">
        <v>0</v>
      </c>
      <c r="AA104" s="27">
        <v>0</v>
      </c>
      <c r="AB104" s="27">
        <v>0</v>
      </c>
      <c r="AC104" s="27">
        <v>0</v>
      </c>
      <c r="AD104" s="27">
        <v>384.29444444444448</v>
      </c>
      <c r="AE104" s="27">
        <v>46.716666666666669</v>
      </c>
      <c r="AF104" s="27">
        <v>0</v>
      </c>
      <c r="AG104" s="27">
        <v>490.38333333333333</v>
      </c>
      <c r="AH104" s="27">
        <v>431.01111111111118</v>
      </c>
      <c r="AI104" s="27">
        <v>490.38333333333333</v>
      </c>
      <c r="AJ104" s="28">
        <v>66.572222222222223</v>
      </c>
      <c r="AK104" s="28">
        <v>0</v>
      </c>
      <c r="AL104" s="28">
        <v>66.572222222222223</v>
      </c>
      <c r="AM104" s="29">
        <v>60</v>
      </c>
      <c r="AN104" s="35">
        <v>81</v>
      </c>
      <c r="AO104" s="27">
        <v>75</v>
      </c>
      <c r="AP104" s="27">
        <v>59</v>
      </c>
      <c r="AQ104" s="27">
        <v>59</v>
      </c>
      <c r="AR104" s="27">
        <v>56</v>
      </c>
      <c r="AS104" s="27">
        <v>48</v>
      </c>
      <c r="AT104" s="27">
        <v>28</v>
      </c>
      <c r="AU104" s="27">
        <v>13</v>
      </c>
      <c r="AV104" s="27">
        <v>0</v>
      </c>
      <c r="AW104" s="27">
        <v>0</v>
      </c>
      <c r="AX104" s="27">
        <v>0</v>
      </c>
      <c r="AY104" s="27">
        <v>0</v>
      </c>
      <c r="AZ104" s="27">
        <v>378</v>
      </c>
      <c r="BA104" s="27">
        <v>41</v>
      </c>
      <c r="BB104" s="27">
        <v>0</v>
      </c>
      <c r="BC104" s="27">
        <v>479</v>
      </c>
      <c r="BD104" s="27">
        <v>419</v>
      </c>
      <c r="BE104" s="27">
        <v>479</v>
      </c>
      <c r="BF104" s="27">
        <v>0</v>
      </c>
      <c r="BG104" s="27">
        <v>60</v>
      </c>
      <c r="BH104" s="27">
        <v>0</v>
      </c>
      <c r="BI104" s="27">
        <v>4</v>
      </c>
      <c r="BJ104" s="27">
        <v>66</v>
      </c>
      <c r="BK104" s="29">
        <v>1</v>
      </c>
      <c r="BL104" s="29">
        <v>67</v>
      </c>
      <c r="BM104" s="29">
        <v>17</v>
      </c>
      <c r="BN104" s="30">
        <v>7.1875000000000078E-2</v>
      </c>
      <c r="BO104" s="31">
        <v>22.39</v>
      </c>
      <c r="BP104" s="31">
        <v>21.39</v>
      </c>
      <c r="BQ104" s="31">
        <v>21.39</v>
      </c>
      <c r="BR104" s="31">
        <v>23.39</v>
      </c>
      <c r="BS104" s="32">
        <v>0</v>
      </c>
      <c r="BT104" s="32">
        <v>0</v>
      </c>
      <c r="BU104" s="33">
        <v>0</v>
      </c>
      <c r="BV104" s="33">
        <v>59.233333000000002</v>
      </c>
      <c r="BW104" s="33">
        <v>0</v>
      </c>
      <c r="BX104" s="33">
        <v>59.233333333333334</v>
      </c>
      <c r="BY104" s="33">
        <v>76.349999999999994</v>
      </c>
      <c r="BZ104" s="33">
        <v>73.233333333333334</v>
      </c>
      <c r="CA104" s="33">
        <v>58.538888888888891</v>
      </c>
      <c r="CB104" s="33">
        <v>58.06666666666667</v>
      </c>
      <c r="CC104" s="33">
        <v>49.37777777777778</v>
      </c>
      <c r="CD104" s="33">
        <v>44.43888888888889</v>
      </c>
      <c r="CE104" s="33">
        <v>25.122222222222224</v>
      </c>
      <c r="CF104" s="33">
        <v>9.5500000000000007</v>
      </c>
      <c r="CG104" s="33">
        <v>0</v>
      </c>
      <c r="CH104" s="33">
        <v>0</v>
      </c>
      <c r="CI104" s="33">
        <v>0</v>
      </c>
      <c r="CJ104" s="33">
        <v>0</v>
      </c>
      <c r="CK104" s="33">
        <v>360.00555555555553</v>
      </c>
      <c r="CL104" s="33">
        <v>34.672222222222224</v>
      </c>
      <c r="CM104" s="33">
        <v>0</v>
      </c>
      <c r="CN104" s="33">
        <v>453.9111111111111</v>
      </c>
      <c r="CO104" s="33">
        <v>394.67777777777775</v>
      </c>
      <c r="CP104" s="33">
        <v>453.9111111111111</v>
      </c>
      <c r="CQ104" s="33">
        <v>66.961111111111094</v>
      </c>
      <c r="CR104" s="33">
        <v>2.1333333333333302</v>
      </c>
      <c r="CS104" s="33">
        <v>69.09444444444442</v>
      </c>
      <c r="CT104" s="33">
        <v>0</v>
      </c>
      <c r="CU104" s="33">
        <v>0</v>
      </c>
      <c r="CV104" s="32">
        <v>79</v>
      </c>
      <c r="CW104" s="32">
        <v>79</v>
      </c>
      <c r="CX104" s="32">
        <v>78</v>
      </c>
      <c r="CY104" s="32">
        <v>83</v>
      </c>
      <c r="CZ104" s="32">
        <v>59</v>
      </c>
      <c r="DA104" s="32">
        <v>56</v>
      </c>
      <c r="DB104" s="32">
        <v>57</v>
      </c>
      <c r="DC104" s="32">
        <v>49</v>
      </c>
      <c r="DD104" s="32">
        <v>19</v>
      </c>
      <c r="DE104" s="32">
        <v>13</v>
      </c>
      <c r="DF104" s="32">
        <v>0</v>
      </c>
      <c r="DG104" s="32">
        <v>0</v>
      </c>
      <c r="DH104" s="32">
        <v>0</v>
      </c>
      <c r="DI104" s="32">
        <v>0</v>
      </c>
      <c r="DJ104" s="32">
        <v>382</v>
      </c>
      <c r="DK104" s="32">
        <v>32</v>
      </c>
      <c r="DL104" s="32">
        <v>0</v>
      </c>
      <c r="DM104" s="32">
        <v>493</v>
      </c>
      <c r="DN104" s="32">
        <v>414</v>
      </c>
      <c r="DO104" s="32">
        <v>493</v>
      </c>
      <c r="DP104" s="32">
        <v>0</v>
      </c>
      <c r="DQ104" s="32">
        <v>43</v>
      </c>
      <c r="DR104" s="32">
        <v>58</v>
      </c>
      <c r="DS104" s="32">
        <v>5</v>
      </c>
      <c r="DT104" s="32">
        <v>63</v>
      </c>
      <c r="DU104" s="32">
        <v>9</v>
      </c>
      <c r="DV104" s="33">
        <v>23.202000000000002</v>
      </c>
      <c r="DW104" s="33">
        <v>23.202000000000002</v>
      </c>
      <c r="DX104" s="33">
        <v>19.655999999999999</v>
      </c>
      <c r="DY104" s="33">
        <v>1.1559999999999999</v>
      </c>
      <c r="DZ104" s="33">
        <v>0</v>
      </c>
      <c r="EA104" s="33">
        <v>26.202000000000002</v>
      </c>
      <c r="EB104" s="34">
        <v>5.4445243230289986E-2</v>
      </c>
      <c r="EC104" s="32"/>
      <c r="ED104" s="32">
        <v>58</v>
      </c>
      <c r="EE104" s="32">
        <v>432</v>
      </c>
      <c r="EF104" s="32">
        <v>387</v>
      </c>
      <c r="EG104" s="32">
        <v>45</v>
      </c>
      <c r="EH104" s="32">
        <v>0</v>
      </c>
      <c r="EI104" s="32">
        <v>490</v>
      </c>
      <c r="EJ104" s="32">
        <v>0</v>
      </c>
      <c r="EK104" s="32">
        <v>67</v>
      </c>
      <c r="EL104" s="32">
        <v>67</v>
      </c>
      <c r="EM104" s="32">
        <v>62</v>
      </c>
      <c r="EN104" s="32">
        <v>5</v>
      </c>
      <c r="EO104" s="32">
        <v>14</v>
      </c>
      <c r="EP104" s="33">
        <v>18.399999999999999</v>
      </c>
      <c r="EQ104" s="33">
        <v>0</v>
      </c>
      <c r="ER104" s="33">
        <v>2.2999999999999998</v>
      </c>
      <c r="ES104" s="33">
        <v>0</v>
      </c>
      <c r="ET104" s="33">
        <v>1</v>
      </c>
      <c r="EU104" s="33">
        <v>21.7</v>
      </c>
    </row>
    <row r="105" spans="1:151" ht="27.6" x14ac:dyDescent="0.3">
      <c r="A105" s="25" t="s">
        <v>82</v>
      </c>
      <c r="B105" s="26" t="s">
        <v>320</v>
      </c>
      <c r="C105" s="27" t="s">
        <v>83</v>
      </c>
      <c r="D105" s="27" t="s">
        <v>272</v>
      </c>
      <c r="E105" s="26" t="s">
        <v>504</v>
      </c>
      <c r="F105" s="26" t="s">
        <v>504</v>
      </c>
      <c r="G105" s="28">
        <v>57.094444444444441</v>
      </c>
      <c r="H105" s="28">
        <v>1</v>
      </c>
      <c r="I105" s="29">
        <v>50</v>
      </c>
      <c r="J105" s="29">
        <v>308</v>
      </c>
      <c r="K105" s="29">
        <v>112</v>
      </c>
      <c r="L105" s="29">
        <v>56</v>
      </c>
      <c r="M105" s="29">
        <v>526</v>
      </c>
      <c r="N105" s="29">
        <v>476</v>
      </c>
      <c r="O105" s="29">
        <v>470</v>
      </c>
      <c r="P105" s="29">
        <v>1</v>
      </c>
      <c r="Q105" s="27">
        <v>49.616666666666667</v>
      </c>
      <c r="R105" s="27">
        <v>49.005555555555553</v>
      </c>
      <c r="S105" s="27">
        <v>49.894444444444446</v>
      </c>
      <c r="T105" s="27">
        <v>50.772222222222226</v>
      </c>
      <c r="U105" s="27">
        <v>51.9</v>
      </c>
      <c r="V105" s="27">
        <v>52.005555555555553</v>
      </c>
      <c r="W105" s="27">
        <v>52.827777777777776</v>
      </c>
      <c r="X105" s="27">
        <v>58.494444444444447</v>
      </c>
      <c r="Y105" s="27">
        <v>53.716666666666669</v>
      </c>
      <c r="Z105" s="27">
        <v>53.722222222222221</v>
      </c>
      <c r="AA105" s="27">
        <v>0</v>
      </c>
      <c r="AB105" s="27">
        <v>0</v>
      </c>
      <c r="AC105" s="27">
        <v>0</v>
      </c>
      <c r="AD105" s="27">
        <v>306.40555555555557</v>
      </c>
      <c r="AE105" s="27">
        <v>112.21111111111111</v>
      </c>
      <c r="AF105" s="27">
        <v>53.722222222222221</v>
      </c>
      <c r="AG105" s="27">
        <v>468.23333333333335</v>
      </c>
      <c r="AH105" s="27">
        <v>472.3388888888889</v>
      </c>
      <c r="AI105" s="27">
        <v>521.95555555555552</v>
      </c>
      <c r="AJ105" s="28">
        <v>50.038888888888891</v>
      </c>
      <c r="AK105" s="28">
        <v>1</v>
      </c>
      <c r="AL105" s="28">
        <v>51.038888888888891</v>
      </c>
      <c r="AM105" s="29">
        <v>50</v>
      </c>
      <c r="AN105" s="35">
        <v>51</v>
      </c>
      <c r="AO105" s="27">
        <v>50</v>
      </c>
      <c r="AP105" s="27">
        <v>50</v>
      </c>
      <c r="AQ105" s="27">
        <v>52</v>
      </c>
      <c r="AR105" s="27">
        <v>53</v>
      </c>
      <c r="AS105" s="27">
        <v>53</v>
      </c>
      <c r="AT105" s="27">
        <v>54</v>
      </c>
      <c r="AU105" s="27">
        <v>62</v>
      </c>
      <c r="AV105" s="27">
        <v>45</v>
      </c>
      <c r="AW105" s="27">
        <v>0</v>
      </c>
      <c r="AX105" s="27">
        <v>0</v>
      </c>
      <c r="AY105" s="27">
        <v>0</v>
      </c>
      <c r="AZ105" s="27">
        <v>309</v>
      </c>
      <c r="BA105" s="27">
        <v>116</v>
      </c>
      <c r="BB105" s="27">
        <v>45</v>
      </c>
      <c r="BC105" s="27">
        <v>475</v>
      </c>
      <c r="BD105" s="27">
        <v>470</v>
      </c>
      <c r="BE105" s="27">
        <v>520</v>
      </c>
      <c r="BF105" s="27">
        <v>36</v>
      </c>
      <c r="BG105" s="27">
        <v>14</v>
      </c>
      <c r="BH105" s="27">
        <v>0</v>
      </c>
      <c r="BI105" s="27">
        <v>44</v>
      </c>
      <c r="BJ105" s="27">
        <v>45</v>
      </c>
      <c r="BK105" s="29">
        <v>2</v>
      </c>
      <c r="BL105" s="29">
        <v>47</v>
      </c>
      <c r="BM105" s="29">
        <v>15</v>
      </c>
      <c r="BN105" s="30">
        <v>7.7324469933959084E-2</v>
      </c>
      <c r="BO105" s="31">
        <v>29.785</v>
      </c>
      <c r="BP105" s="31">
        <v>28.285</v>
      </c>
      <c r="BQ105" s="31">
        <v>28.285</v>
      </c>
      <c r="BR105" s="31">
        <v>29.785000000000004</v>
      </c>
      <c r="BS105" s="32">
        <v>0</v>
      </c>
      <c r="BT105" s="32">
        <v>0</v>
      </c>
      <c r="BU105" s="33">
        <v>0</v>
      </c>
      <c r="BV105" s="33">
        <v>13.316666</v>
      </c>
      <c r="BW105" s="33">
        <v>36.161110999999998</v>
      </c>
      <c r="BX105" s="33">
        <v>49.477777777777774</v>
      </c>
      <c r="BY105" s="33">
        <v>49.894444444444446</v>
      </c>
      <c r="BZ105" s="33">
        <v>48.93333333333333</v>
      </c>
      <c r="CA105" s="33">
        <v>49.972222222222221</v>
      </c>
      <c r="CB105" s="33">
        <v>52</v>
      </c>
      <c r="CC105" s="33">
        <v>52.633333333333333</v>
      </c>
      <c r="CD105" s="33">
        <v>53</v>
      </c>
      <c r="CE105" s="33">
        <v>52.255555555555553</v>
      </c>
      <c r="CF105" s="33">
        <v>61.777777777777779</v>
      </c>
      <c r="CG105" s="33">
        <v>44.038888888888891</v>
      </c>
      <c r="CH105" s="33">
        <v>0</v>
      </c>
      <c r="CI105" s="33">
        <v>0</v>
      </c>
      <c r="CJ105" s="33">
        <v>0</v>
      </c>
      <c r="CK105" s="33">
        <v>306.43333333333334</v>
      </c>
      <c r="CL105" s="33">
        <v>114.03333333333333</v>
      </c>
      <c r="CM105" s="33">
        <v>44.038888888888891</v>
      </c>
      <c r="CN105" s="33">
        <v>469.9444444444444</v>
      </c>
      <c r="CO105" s="33">
        <v>464.50555555555553</v>
      </c>
      <c r="CP105" s="33">
        <v>513.98333333333335</v>
      </c>
      <c r="CQ105" s="33">
        <v>45.2777777777778</v>
      </c>
      <c r="CR105" s="33">
        <v>2.5222222222222199</v>
      </c>
      <c r="CS105" s="33">
        <v>47.800000000000018</v>
      </c>
      <c r="CT105" s="33">
        <v>0</v>
      </c>
      <c r="CU105" s="33">
        <v>37</v>
      </c>
      <c r="CV105" s="32">
        <v>14</v>
      </c>
      <c r="CW105" s="32">
        <v>51</v>
      </c>
      <c r="CX105" s="32">
        <v>50</v>
      </c>
      <c r="CY105" s="32">
        <v>50</v>
      </c>
      <c r="CZ105" s="32">
        <v>50</v>
      </c>
      <c r="DA105" s="32">
        <v>52</v>
      </c>
      <c r="DB105" s="32">
        <v>52</v>
      </c>
      <c r="DC105" s="32">
        <v>54</v>
      </c>
      <c r="DD105" s="32">
        <v>49</v>
      </c>
      <c r="DE105" s="32">
        <v>52</v>
      </c>
      <c r="DF105" s="32">
        <v>62</v>
      </c>
      <c r="DG105" s="32">
        <v>0</v>
      </c>
      <c r="DH105" s="32">
        <v>0</v>
      </c>
      <c r="DI105" s="32">
        <v>0</v>
      </c>
      <c r="DJ105" s="32">
        <v>308</v>
      </c>
      <c r="DK105" s="32">
        <v>101</v>
      </c>
      <c r="DL105" s="32">
        <v>62</v>
      </c>
      <c r="DM105" s="32">
        <v>460</v>
      </c>
      <c r="DN105" s="32">
        <v>471</v>
      </c>
      <c r="DO105" s="32">
        <v>522</v>
      </c>
      <c r="DP105" s="32">
        <v>0</v>
      </c>
      <c r="DQ105" s="32">
        <v>35</v>
      </c>
      <c r="DR105" s="32">
        <v>38</v>
      </c>
      <c r="DS105" s="32">
        <v>4</v>
      </c>
      <c r="DT105" s="32">
        <v>42</v>
      </c>
      <c r="DU105" s="32">
        <v>16</v>
      </c>
      <c r="DV105" s="33">
        <v>31.669</v>
      </c>
      <c r="DW105" s="33">
        <v>30.168999999999997</v>
      </c>
      <c r="DX105" s="33">
        <v>14.15</v>
      </c>
      <c r="DY105" s="33">
        <v>13.339000000000002</v>
      </c>
      <c r="DZ105" s="33">
        <v>0</v>
      </c>
      <c r="EA105" s="33">
        <v>32.369</v>
      </c>
      <c r="EB105" s="34">
        <v>6.728826538925281E-2</v>
      </c>
      <c r="EC105" s="32"/>
      <c r="ED105" s="32">
        <v>50</v>
      </c>
      <c r="EE105" s="32">
        <v>469</v>
      </c>
      <c r="EF105" s="32">
        <v>306</v>
      </c>
      <c r="EG105" s="32">
        <v>108</v>
      </c>
      <c r="EH105" s="32">
        <v>55</v>
      </c>
      <c r="EI105" s="32">
        <v>519</v>
      </c>
      <c r="EJ105" s="32">
        <v>0</v>
      </c>
      <c r="EK105" s="32">
        <v>42</v>
      </c>
      <c r="EL105" s="32">
        <v>42</v>
      </c>
      <c r="EM105" s="32">
        <v>39</v>
      </c>
      <c r="EN105" s="32">
        <v>3</v>
      </c>
      <c r="EO105" s="32">
        <v>1</v>
      </c>
      <c r="EP105" s="33">
        <v>11.725</v>
      </c>
      <c r="EQ105" s="33">
        <v>0.625</v>
      </c>
      <c r="ER105" s="33">
        <v>2</v>
      </c>
      <c r="ES105" s="33">
        <v>0</v>
      </c>
      <c r="ET105" s="33">
        <v>4.9630000000000001</v>
      </c>
      <c r="EU105" s="33">
        <v>19.312999999999999</v>
      </c>
    </row>
    <row r="106" spans="1:151" ht="41.4" x14ac:dyDescent="0.3">
      <c r="A106" s="25" t="s">
        <v>98</v>
      </c>
      <c r="B106" s="26" t="s">
        <v>334</v>
      </c>
      <c r="C106" s="27" t="s">
        <v>99</v>
      </c>
      <c r="D106" s="27" t="s">
        <v>272</v>
      </c>
      <c r="E106" s="26" t="s">
        <v>504</v>
      </c>
      <c r="F106" s="26" t="s">
        <v>504</v>
      </c>
      <c r="G106" s="28">
        <v>130.87222222222223</v>
      </c>
      <c r="H106" s="28">
        <v>7.7444444444444445</v>
      </c>
      <c r="I106" s="29">
        <v>121</v>
      </c>
      <c r="J106" s="29">
        <v>563</v>
      </c>
      <c r="K106" s="29">
        <v>170</v>
      </c>
      <c r="L106" s="29">
        <v>86</v>
      </c>
      <c r="M106" s="29">
        <v>940</v>
      </c>
      <c r="N106" s="29">
        <v>819</v>
      </c>
      <c r="O106" s="29">
        <v>854</v>
      </c>
      <c r="P106" s="29">
        <v>9</v>
      </c>
      <c r="Q106" s="27">
        <v>119.35555555555555</v>
      </c>
      <c r="R106" s="27">
        <v>87.661111111111111</v>
      </c>
      <c r="S106" s="27">
        <v>96.266666666666666</v>
      </c>
      <c r="T106" s="27">
        <v>91.327777777777783</v>
      </c>
      <c r="U106" s="27">
        <v>98.738888888888894</v>
      </c>
      <c r="V106" s="27">
        <v>97.761111111111106</v>
      </c>
      <c r="W106" s="27">
        <v>92.277777777777771</v>
      </c>
      <c r="X106" s="27">
        <v>93.988888888888894</v>
      </c>
      <c r="Y106" s="27">
        <v>76.711111111111109</v>
      </c>
      <c r="Z106" s="27">
        <v>84.422222222222217</v>
      </c>
      <c r="AA106" s="27">
        <v>0</v>
      </c>
      <c r="AB106" s="27">
        <v>0</v>
      </c>
      <c r="AC106" s="27">
        <v>0</v>
      </c>
      <c r="AD106" s="27">
        <v>564.0333333333333</v>
      </c>
      <c r="AE106" s="27">
        <v>170.7</v>
      </c>
      <c r="AF106" s="27">
        <v>84.422222222222217</v>
      </c>
      <c r="AG106" s="27">
        <v>854.08888888888896</v>
      </c>
      <c r="AH106" s="27">
        <v>819.15555555555557</v>
      </c>
      <c r="AI106" s="27">
        <v>938.51111111111118</v>
      </c>
      <c r="AJ106" s="28">
        <v>128.82777777777778</v>
      </c>
      <c r="AK106" s="28">
        <v>7.9222222222222225</v>
      </c>
      <c r="AL106" s="28">
        <v>136.75</v>
      </c>
      <c r="AM106" s="29">
        <v>115</v>
      </c>
      <c r="AN106" s="35">
        <v>115</v>
      </c>
      <c r="AO106" s="27">
        <v>91</v>
      </c>
      <c r="AP106" s="27">
        <v>101</v>
      </c>
      <c r="AQ106" s="27">
        <v>105</v>
      </c>
      <c r="AR106" s="27">
        <v>98</v>
      </c>
      <c r="AS106" s="27">
        <v>98</v>
      </c>
      <c r="AT106" s="27">
        <v>103</v>
      </c>
      <c r="AU106" s="27">
        <v>91</v>
      </c>
      <c r="AV106" s="27">
        <v>69</v>
      </c>
      <c r="AW106" s="27">
        <v>0</v>
      </c>
      <c r="AX106" s="27">
        <v>0</v>
      </c>
      <c r="AY106" s="27">
        <v>0</v>
      </c>
      <c r="AZ106" s="27">
        <v>608</v>
      </c>
      <c r="BA106" s="27">
        <v>194</v>
      </c>
      <c r="BB106" s="27">
        <v>69</v>
      </c>
      <c r="BC106" s="27">
        <v>917</v>
      </c>
      <c r="BD106" s="27">
        <v>871</v>
      </c>
      <c r="BE106" s="27">
        <v>986</v>
      </c>
      <c r="BF106" s="27">
        <v>100</v>
      </c>
      <c r="BG106" s="27">
        <v>15</v>
      </c>
      <c r="BH106" s="27">
        <v>0</v>
      </c>
      <c r="BI106" s="27">
        <v>204</v>
      </c>
      <c r="BJ106" s="27">
        <v>144</v>
      </c>
      <c r="BK106" s="29">
        <v>5</v>
      </c>
      <c r="BL106" s="29">
        <v>149</v>
      </c>
      <c r="BM106" s="29">
        <v>56</v>
      </c>
      <c r="BN106" s="30">
        <v>6.5723947125729987E-2</v>
      </c>
      <c r="BO106" s="31">
        <v>60.515999999999998</v>
      </c>
      <c r="BP106" s="31">
        <v>58.515999999999998</v>
      </c>
      <c r="BQ106" s="31">
        <v>57.515999999999998</v>
      </c>
      <c r="BR106" s="31">
        <v>59.515999999999998</v>
      </c>
      <c r="BS106" s="32">
        <v>0</v>
      </c>
      <c r="BT106" s="32">
        <v>0</v>
      </c>
      <c r="BU106" s="33">
        <v>0</v>
      </c>
      <c r="BV106" s="33">
        <v>3.0055550000000002</v>
      </c>
      <c r="BW106" s="33">
        <v>111.483333</v>
      </c>
      <c r="BX106" s="33">
        <v>114.48888888888889</v>
      </c>
      <c r="BY106" s="33">
        <v>114.29444444444445</v>
      </c>
      <c r="BZ106" s="33">
        <v>90.011111111111106</v>
      </c>
      <c r="CA106" s="33">
        <v>100.92777777777778</v>
      </c>
      <c r="CB106" s="33">
        <v>106.67222222222222</v>
      </c>
      <c r="CC106" s="33">
        <v>100.10555555555555</v>
      </c>
      <c r="CD106" s="33">
        <v>94.861111111111114</v>
      </c>
      <c r="CE106" s="33">
        <v>101.46111111111111</v>
      </c>
      <c r="CF106" s="33">
        <v>86.9</v>
      </c>
      <c r="CG106" s="33">
        <v>67.916666666666671</v>
      </c>
      <c r="CH106" s="33">
        <v>0</v>
      </c>
      <c r="CI106" s="33">
        <v>0</v>
      </c>
      <c r="CJ106" s="33">
        <v>0</v>
      </c>
      <c r="CK106" s="33">
        <v>606.87222222222226</v>
      </c>
      <c r="CL106" s="33">
        <v>188.36111111111111</v>
      </c>
      <c r="CM106" s="33">
        <v>67.916666666666671</v>
      </c>
      <c r="CN106" s="33">
        <v>909.72222222222217</v>
      </c>
      <c r="CO106" s="33">
        <v>863.15</v>
      </c>
      <c r="CP106" s="33">
        <v>977.6388888888888</v>
      </c>
      <c r="CQ106" s="33">
        <v>144.80000000000001</v>
      </c>
      <c r="CR106" s="33">
        <v>5.6722222222222198</v>
      </c>
      <c r="CS106" s="33">
        <v>150.47222222222223</v>
      </c>
      <c r="CT106" s="33">
        <v>0</v>
      </c>
      <c r="CU106" s="33">
        <v>98</v>
      </c>
      <c r="CV106" s="32">
        <v>5</v>
      </c>
      <c r="CW106" s="32">
        <v>103</v>
      </c>
      <c r="CX106" s="32">
        <v>107</v>
      </c>
      <c r="CY106" s="32">
        <v>118</v>
      </c>
      <c r="CZ106" s="32">
        <v>97</v>
      </c>
      <c r="DA106" s="32">
        <v>105</v>
      </c>
      <c r="DB106" s="32">
        <v>120</v>
      </c>
      <c r="DC106" s="32">
        <v>114</v>
      </c>
      <c r="DD106" s="32">
        <v>75</v>
      </c>
      <c r="DE106" s="32">
        <v>101</v>
      </c>
      <c r="DF106" s="32">
        <v>80</v>
      </c>
      <c r="DG106" s="32">
        <v>0</v>
      </c>
      <c r="DH106" s="32">
        <v>0</v>
      </c>
      <c r="DI106" s="32">
        <v>0</v>
      </c>
      <c r="DJ106" s="32">
        <v>661</v>
      </c>
      <c r="DK106" s="32">
        <v>176</v>
      </c>
      <c r="DL106" s="32">
        <v>80</v>
      </c>
      <c r="DM106" s="32">
        <v>940</v>
      </c>
      <c r="DN106" s="32">
        <v>917</v>
      </c>
      <c r="DO106" s="32">
        <v>1020</v>
      </c>
      <c r="DP106" s="32">
        <v>0</v>
      </c>
      <c r="DQ106" s="32">
        <v>184</v>
      </c>
      <c r="DR106" s="32">
        <v>146</v>
      </c>
      <c r="DS106" s="32">
        <v>4</v>
      </c>
      <c r="DT106" s="32">
        <v>150</v>
      </c>
      <c r="DU106" s="32">
        <v>59</v>
      </c>
      <c r="DV106" s="33">
        <v>59.603999999999999</v>
      </c>
      <c r="DW106" s="33">
        <v>57.603999999999999</v>
      </c>
      <c r="DX106" s="33">
        <v>32.618000000000002</v>
      </c>
      <c r="DY106" s="33">
        <v>21.812999999999999</v>
      </c>
      <c r="DZ106" s="33">
        <v>0</v>
      </c>
      <c r="EA106" s="33">
        <v>59.603999999999999</v>
      </c>
      <c r="EB106" s="34">
        <v>7.4659732922444877E-2</v>
      </c>
      <c r="EC106" s="32"/>
      <c r="ED106" s="32">
        <v>118</v>
      </c>
      <c r="EE106" s="32">
        <v>893</v>
      </c>
      <c r="EF106" s="32">
        <v>623</v>
      </c>
      <c r="EG106" s="32">
        <v>199</v>
      </c>
      <c r="EH106" s="32">
        <v>71</v>
      </c>
      <c r="EI106" s="32">
        <v>1011</v>
      </c>
      <c r="EJ106" s="32">
        <v>0</v>
      </c>
      <c r="EK106" s="32">
        <v>144</v>
      </c>
      <c r="EL106" s="32">
        <v>144</v>
      </c>
      <c r="EM106" s="32">
        <v>140</v>
      </c>
      <c r="EN106" s="32">
        <v>4</v>
      </c>
      <c r="EO106" s="32">
        <v>12</v>
      </c>
      <c r="EP106" s="33">
        <v>18.225000000000001</v>
      </c>
      <c r="EQ106" s="33">
        <v>0</v>
      </c>
      <c r="ER106" s="33">
        <v>6.7249999999999996</v>
      </c>
      <c r="ES106" s="33">
        <v>0</v>
      </c>
      <c r="ET106" s="33">
        <v>0</v>
      </c>
      <c r="EU106" s="33">
        <v>24.950000000000003</v>
      </c>
    </row>
    <row r="107" spans="1:151" ht="41.4" x14ac:dyDescent="0.3">
      <c r="A107" s="25" t="s">
        <v>114</v>
      </c>
      <c r="B107" s="26" t="s">
        <v>349</v>
      </c>
      <c r="C107" s="27" t="s">
        <v>115</v>
      </c>
      <c r="D107" s="27" t="s">
        <v>272</v>
      </c>
      <c r="E107" s="26" t="s">
        <v>504</v>
      </c>
      <c r="F107" s="26" t="s">
        <v>504</v>
      </c>
      <c r="G107" s="28">
        <v>73.311111111111117</v>
      </c>
      <c r="H107" s="28">
        <v>7.916666666666667</v>
      </c>
      <c r="I107" s="29">
        <v>133</v>
      </c>
      <c r="J107" s="29">
        <v>771</v>
      </c>
      <c r="K107" s="29">
        <v>99</v>
      </c>
      <c r="L107" s="29">
        <v>0</v>
      </c>
      <c r="M107" s="29">
        <v>1003</v>
      </c>
      <c r="N107" s="29">
        <v>870</v>
      </c>
      <c r="O107" s="29">
        <v>1003</v>
      </c>
      <c r="P107" s="29">
        <v>12</v>
      </c>
      <c r="Q107" s="27">
        <v>123.78333333333333</v>
      </c>
      <c r="R107" s="27">
        <v>128.11111111111111</v>
      </c>
      <c r="S107" s="27">
        <v>137.37777777777777</v>
      </c>
      <c r="T107" s="27">
        <v>137.5611111111111</v>
      </c>
      <c r="U107" s="27">
        <v>117.74444444444444</v>
      </c>
      <c r="V107" s="27">
        <v>131.75</v>
      </c>
      <c r="W107" s="27">
        <v>103.41111111111111</v>
      </c>
      <c r="X107" s="27">
        <v>98.277777777777771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7">
        <v>755.95555555555552</v>
      </c>
      <c r="AE107" s="27">
        <v>98.277777777777771</v>
      </c>
      <c r="AF107" s="27">
        <v>0</v>
      </c>
      <c r="AG107" s="27">
        <v>978.01666666666665</v>
      </c>
      <c r="AH107" s="27">
        <v>854.23333333333335</v>
      </c>
      <c r="AI107" s="27">
        <v>978.01666666666665</v>
      </c>
      <c r="AJ107" s="28">
        <v>78.361111111111114</v>
      </c>
      <c r="AK107" s="28">
        <v>13.661111111111111</v>
      </c>
      <c r="AL107" s="28">
        <v>92.022222222222226</v>
      </c>
      <c r="AM107" s="29">
        <v>135</v>
      </c>
      <c r="AN107" s="35">
        <v>133</v>
      </c>
      <c r="AO107" s="27">
        <v>131</v>
      </c>
      <c r="AP107" s="27">
        <v>135</v>
      </c>
      <c r="AQ107" s="27">
        <v>130</v>
      </c>
      <c r="AR107" s="27">
        <v>121</v>
      </c>
      <c r="AS107" s="27">
        <v>115</v>
      </c>
      <c r="AT107" s="27">
        <v>96</v>
      </c>
      <c r="AU107" s="27">
        <v>0</v>
      </c>
      <c r="AV107" s="27">
        <v>0</v>
      </c>
      <c r="AW107" s="27">
        <v>0</v>
      </c>
      <c r="AX107" s="27">
        <v>0</v>
      </c>
      <c r="AY107" s="27">
        <v>0</v>
      </c>
      <c r="AZ107" s="27">
        <v>765</v>
      </c>
      <c r="BA107" s="27">
        <v>96</v>
      </c>
      <c r="BB107" s="27">
        <v>0</v>
      </c>
      <c r="BC107" s="27">
        <v>996</v>
      </c>
      <c r="BD107" s="27">
        <v>861</v>
      </c>
      <c r="BE107" s="27">
        <v>996</v>
      </c>
      <c r="BF107" s="27">
        <v>135</v>
      </c>
      <c r="BG107" s="27">
        <v>0</v>
      </c>
      <c r="BH107" s="27">
        <v>0</v>
      </c>
      <c r="BI107" s="27">
        <v>231</v>
      </c>
      <c r="BJ107" s="27">
        <v>89</v>
      </c>
      <c r="BK107" s="29">
        <v>15</v>
      </c>
      <c r="BL107" s="29">
        <v>104</v>
      </c>
      <c r="BM107" s="29">
        <v>27</v>
      </c>
      <c r="BN107" s="30">
        <v>6.2838491295938215E-2</v>
      </c>
      <c r="BO107" s="31">
        <v>55.625</v>
      </c>
      <c r="BP107" s="31">
        <v>51.625</v>
      </c>
      <c r="BQ107" s="31">
        <v>47.625</v>
      </c>
      <c r="BR107" s="31">
        <v>53.625</v>
      </c>
      <c r="BS107" s="32">
        <v>0</v>
      </c>
      <c r="BT107" s="32">
        <v>0</v>
      </c>
      <c r="BU107" s="33">
        <v>0</v>
      </c>
      <c r="BV107" s="33">
        <v>0</v>
      </c>
      <c r="BW107" s="33">
        <v>129.36666600000001</v>
      </c>
      <c r="BX107" s="33">
        <v>129.36666666666667</v>
      </c>
      <c r="BY107" s="33">
        <v>130.95555555555555</v>
      </c>
      <c r="BZ107" s="33">
        <v>131.75555555555556</v>
      </c>
      <c r="CA107" s="33">
        <v>136.32777777777778</v>
      </c>
      <c r="CB107" s="33">
        <v>131.30555555555554</v>
      </c>
      <c r="CC107" s="33">
        <v>117.24444444444444</v>
      </c>
      <c r="CD107" s="33">
        <v>118.17222222222222</v>
      </c>
      <c r="CE107" s="33">
        <v>93.611111111111114</v>
      </c>
      <c r="CF107" s="33">
        <v>0</v>
      </c>
      <c r="CG107" s="33">
        <v>0</v>
      </c>
      <c r="CH107" s="33">
        <v>0</v>
      </c>
      <c r="CI107" s="33">
        <v>0</v>
      </c>
      <c r="CJ107" s="33">
        <v>0</v>
      </c>
      <c r="CK107" s="33">
        <v>765.76111111111106</v>
      </c>
      <c r="CL107" s="33">
        <v>93.611111111111114</v>
      </c>
      <c r="CM107" s="33">
        <v>0</v>
      </c>
      <c r="CN107" s="33">
        <v>988.73888888888882</v>
      </c>
      <c r="CO107" s="33">
        <v>859.37222222222215</v>
      </c>
      <c r="CP107" s="33">
        <v>988.73888888888882</v>
      </c>
      <c r="CQ107" s="33">
        <v>93.072222222222194</v>
      </c>
      <c r="CR107" s="33">
        <v>14.494444444444399</v>
      </c>
      <c r="CS107" s="33">
        <v>107.56666666666659</v>
      </c>
      <c r="CT107" s="33">
        <v>0</v>
      </c>
      <c r="CU107" s="33">
        <v>140</v>
      </c>
      <c r="CV107" s="32">
        <v>0</v>
      </c>
      <c r="CW107" s="32">
        <v>140</v>
      </c>
      <c r="CX107" s="32">
        <v>136</v>
      </c>
      <c r="CY107" s="32">
        <v>138</v>
      </c>
      <c r="CZ107" s="32">
        <v>135</v>
      </c>
      <c r="DA107" s="32">
        <v>140</v>
      </c>
      <c r="DB107" s="32">
        <v>125</v>
      </c>
      <c r="DC107" s="32">
        <v>105</v>
      </c>
      <c r="DD107" s="32">
        <v>95</v>
      </c>
      <c r="DE107" s="32">
        <v>0</v>
      </c>
      <c r="DF107" s="32">
        <v>0</v>
      </c>
      <c r="DG107" s="32">
        <v>0</v>
      </c>
      <c r="DH107" s="32">
        <v>0</v>
      </c>
      <c r="DI107" s="32">
        <v>0</v>
      </c>
      <c r="DJ107" s="32">
        <v>779</v>
      </c>
      <c r="DK107" s="32">
        <v>95</v>
      </c>
      <c r="DL107" s="32">
        <v>0</v>
      </c>
      <c r="DM107" s="32">
        <v>1014</v>
      </c>
      <c r="DN107" s="32">
        <v>874</v>
      </c>
      <c r="DO107" s="32">
        <v>1014</v>
      </c>
      <c r="DP107" s="32">
        <v>0</v>
      </c>
      <c r="DQ107" s="32">
        <v>193</v>
      </c>
      <c r="DR107" s="32">
        <v>117</v>
      </c>
      <c r="DS107" s="32">
        <v>15</v>
      </c>
      <c r="DT107" s="32">
        <v>132</v>
      </c>
      <c r="DU107" s="32">
        <v>52</v>
      </c>
      <c r="DV107" s="33">
        <v>55</v>
      </c>
      <c r="DW107" s="33">
        <v>51</v>
      </c>
      <c r="DX107" s="33">
        <v>39.799999999999997</v>
      </c>
      <c r="DY107" s="33">
        <v>5.2</v>
      </c>
      <c r="DZ107" s="33">
        <v>0</v>
      </c>
      <c r="EA107" s="33">
        <v>55</v>
      </c>
      <c r="EB107" s="34">
        <v>5.9178687761749726E-2</v>
      </c>
      <c r="EC107" s="32"/>
      <c r="ED107" s="32">
        <v>139</v>
      </c>
      <c r="EE107" s="32">
        <v>872</v>
      </c>
      <c r="EF107" s="32">
        <v>774</v>
      </c>
      <c r="EG107" s="32">
        <v>98</v>
      </c>
      <c r="EH107" s="32">
        <v>0</v>
      </c>
      <c r="EI107" s="32">
        <v>1011</v>
      </c>
      <c r="EJ107" s="32">
        <v>0</v>
      </c>
      <c r="EK107" s="32">
        <v>135</v>
      </c>
      <c r="EL107" s="32">
        <v>135</v>
      </c>
      <c r="EM107" s="32">
        <v>121</v>
      </c>
      <c r="EN107" s="32">
        <v>14</v>
      </c>
      <c r="EO107" s="32">
        <v>18</v>
      </c>
      <c r="EP107" s="33">
        <v>28.370999999999999</v>
      </c>
      <c r="EQ107" s="33">
        <v>0</v>
      </c>
      <c r="ER107" s="33">
        <v>2.5529999999999999</v>
      </c>
      <c r="ES107" s="33">
        <v>8.7999999999999995E-2</v>
      </c>
      <c r="ET107" s="33">
        <v>9.59</v>
      </c>
      <c r="EU107" s="33">
        <v>40.602000000000004</v>
      </c>
    </row>
    <row r="108" spans="1:151" ht="41.4" x14ac:dyDescent="0.3">
      <c r="A108" s="25" t="s">
        <v>131</v>
      </c>
      <c r="B108" s="26" t="s">
        <v>364</v>
      </c>
      <c r="C108" s="27" t="s">
        <v>710</v>
      </c>
      <c r="D108" s="27" t="s">
        <v>272</v>
      </c>
      <c r="E108" s="26" t="s">
        <v>504</v>
      </c>
      <c r="F108" s="26" t="s">
        <v>504</v>
      </c>
      <c r="G108" s="28">
        <v>51.594444444444441</v>
      </c>
      <c r="H108" s="28">
        <v>5.7222222222222223</v>
      </c>
      <c r="I108" s="29">
        <v>48</v>
      </c>
      <c r="J108" s="29">
        <v>311</v>
      </c>
      <c r="K108" s="29">
        <v>0</v>
      </c>
      <c r="L108" s="29">
        <v>0</v>
      </c>
      <c r="M108" s="29">
        <v>359</v>
      </c>
      <c r="N108" s="29">
        <v>311</v>
      </c>
      <c r="O108" s="29">
        <v>359</v>
      </c>
      <c r="P108" s="29">
        <v>4</v>
      </c>
      <c r="Q108" s="27">
        <v>47.972222222222221</v>
      </c>
      <c r="R108" s="27">
        <v>49</v>
      </c>
      <c r="S108" s="27">
        <v>49.544444444444444</v>
      </c>
      <c r="T108" s="27">
        <v>51.62222222222222</v>
      </c>
      <c r="U108" s="27">
        <v>50.577777777777776</v>
      </c>
      <c r="V108" s="27">
        <v>54</v>
      </c>
      <c r="W108" s="27">
        <v>50.677777777777777</v>
      </c>
      <c r="X108" s="27">
        <v>0</v>
      </c>
      <c r="Y108" s="27">
        <v>0</v>
      </c>
      <c r="Z108" s="27">
        <v>0</v>
      </c>
      <c r="AA108" s="27">
        <v>0</v>
      </c>
      <c r="AB108" s="27">
        <v>0</v>
      </c>
      <c r="AC108" s="27">
        <v>0</v>
      </c>
      <c r="AD108" s="27">
        <v>305.42222222222222</v>
      </c>
      <c r="AE108" s="27">
        <v>0</v>
      </c>
      <c r="AF108" s="27">
        <v>0</v>
      </c>
      <c r="AG108" s="27">
        <v>353.3944444444445</v>
      </c>
      <c r="AH108" s="27">
        <v>305.42222222222222</v>
      </c>
      <c r="AI108" s="27">
        <v>353.3944444444445</v>
      </c>
      <c r="AJ108" s="28">
        <v>58.25</v>
      </c>
      <c r="AK108" s="28">
        <v>4.4444444444444446</v>
      </c>
      <c r="AL108" s="28">
        <v>62.694444444444443</v>
      </c>
      <c r="AM108" s="29">
        <v>48</v>
      </c>
      <c r="AN108" s="35">
        <v>48</v>
      </c>
      <c r="AO108" s="27">
        <v>50</v>
      </c>
      <c r="AP108" s="27">
        <v>52</v>
      </c>
      <c r="AQ108" s="27">
        <v>52</v>
      </c>
      <c r="AR108" s="27">
        <v>54</v>
      </c>
      <c r="AS108" s="27">
        <v>54</v>
      </c>
      <c r="AT108" s="27">
        <v>0</v>
      </c>
      <c r="AU108" s="27">
        <v>0</v>
      </c>
      <c r="AV108" s="27">
        <v>0</v>
      </c>
      <c r="AW108" s="27">
        <v>0</v>
      </c>
      <c r="AX108" s="27">
        <v>0</v>
      </c>
      <c r="AY108" s="27">
        <v>0</v>
      </c>
      <c r="AZ108" s="27">
        <v>310</v>
      </c>
      <c r="BA108" s="27">
        <v>0</v>
      </c>
      <c r="BB108" s="27">
        <v>0</v>
      </c>
      <c r="BC108" s="27">
        <v>358</v>
      </c>
      <c r="BD108" s="27">
        <v>310</v>
      </c>
      <c r="BE108" s="27">
        <v>358</v>
      </c>
      <c r="BF108" s="27">
        <v>47</v>
      </c>
      <c r="BG108" s="27">
        <v>1</v>
      </c>
      <c r="BH108" s="27">
        <v>0</v>
      </c>
      <c r="BI108" s="27">
        <v>77</v>
      </c>
      <c r="BJ108" s="27">
        <v>62</v>
      </c>
      <c r="BK108" s="29">
        <v>3</v>
      </c>
      <c r="BL108" s="29">
        <v>65</v>
      </c>
      <c r="BM108" s="29">
        <v>5</v>
      </c>
      <c r="BN108" s="30">
        <v>0.10797872340425529</v>
      </c>
      <c r="BO108" s="31">
        <v>22.75</v>
      </c>
      <c r="BP108" s="31">
        <v>21.25</v>
      </c>
      <c r="BQ108" s="31">
        <v>20.5</v>
      </c>
      <c r="BR108" s="31">
        <v>22.75</v>
      </c>
      <c r="BS108" s="32">
        <v>0</v>
      </c>
      <c r="BT108" s="32">
        <v>0</v>
      </c>
      <c r="BU108" s="33">
        <v>0</v>
      </c>
      <c r="BV108" s="33">
        <v>1.577777</v>
      </c>
      <c r="BW108" s="33">
        <v>44.122222000000001</v>
      </c>
      <c r="BX108" s="33">
        <v>45.7</v>
      </c>
      <c r="BY108" s="33">
        <v>47.977777777777774</v>
      </c>
      <c r="BZ108" s="33">
        <v>49.988888888888887</v>
      </c>
      <c r="CA108" s="33">
        <v>52.005555555555553</v>
      </c>
      <c r="CB108" s="33">
        <v>51.972222222222221</v>
      </c>
      <c r="CC108" s="33">
        <v>52.9</v>
      </c>
      <c r="CD108" s="33">
        <v>53.916666666666664</v>
      </c>
      <c r="CE108" s="33">
        <v>0</v>
      </c>
      <c r="CF108" s="33">
        <v>0</v>
      </c>
      <c r="CG108" s="33">
        <v>0</v>
      </c>
      <c r="CH108" s="33">
        <v>0</v>
      </c>
      <c r="CI108" s="33">
        <v>0</v>
      </c>
      <c r="CJ108" s="33">
        <v>0</v>
      </c>
      <c r="CK108" s="33">
        <v>308.76111111111112</v>
      </c>
      <c r="CL108" s="33">
        <v>0</v>
      </c>
      <c r="CM108" s="33">
        <v>0</v>
      </c>
      <c r="CN108" s="33">
        <v>354.46111111111111</v>
      </c>
      <c r="CO108" s="33">
        <v>308.76111111111112</v>
      </c>
      <c r="CP108" s="33">
        <v>354.46111111111111</v>
      </c>
      <c r="CQ108" s="33">
        <v>58.55</v>
      </c>
      <c r="CR108" s="33">
        <v>3.0944444444444401</v>
      </c>
      <c r="CS108" s="33">
        <v>61.644444444444439</v>
      </c>
      <c r="CT108" s="33">
        <v>0</v>
      </c>
      <c r="CU108" s="33">
        <v>49</v>
      </c>
      <c r="CV108" s="32">
        <v>0</v>
      </c>
      <c r="CW108" s="32">
        <v>49</v>
      </c>
      <c r="CX108" s="32">
        <v>48</v>
      </c>
      <c r="CY108" s="32">
        <v>50</v>
      </c>
      <c r="CZ108" s="32">
        <v>52</v>
      </c>
      <c r="DA108" s="32">
        <v>52</v>
      </c>
      <c r="DB108" s="32">
        <v>54</v>
      </c>
      <c r="DC108" s="32">
        <v>54</v>
      </c>
      <c r="DD108" s="32">
        <v>0</v>
      </c>
      <c r="DE108" s="32">
        <v>0</v>
      </c>
      <c r="DF108" s="32">
        <v>0</v>
      </c>
      <c r="DG108" s="32">
        <v>0</v>
      </c>
      <c r="DH108" s="32">
        <v>0</v>
      </c>
      <c r="DI108" s="32">
        <v>0</v>
      </c>
      <c r="DJ108" s="32">
        <v>310</v>
      </c>
      <c r="DK108" s="32">
        <v>0</v>
      </c>
      <c r="DL108" s="32">
        <v>0</v>
      </c>
      <c r="DM108" s="32">
        <v>359</v>
      </c>
      <c r="DN108" s="32">
        <v>310</v>
      </c>
      <c r="DO108" s="32">
        <v>359</v>
      </c>
      <c r="DP108" s="32">
        <v>0</v>
      </c>
      <c r="DQ108" s="32">
        <v>71</v>
      </c>
      <c r="DR108" s="32">
        <v>51</v>
      </c>
      <c r="DS108" s="32">
        <v>7</v>
      </c>
      <c r="DT108" s="32">
        <v>58</v>
      </c>
      <c r="DU108" s="32">
        <v>6</v>
      </c>
      <c r="DV108" s="33">
        <v>21.75</v>
      </c>
      <c r="DW108" s="33">
        <v>20.25</v>
      </c>
      <c r="DX108" s="33">
        <v>16.75</v>
      </c>
      <c r="DY108" s="33">
        <v>0.75</v>
      </c>
      <c r="DZ108" s="33">
        <v>0</v>
      </c>
      <c r="EA108" s="33">
        <v>36.25</v>
      </c>
      <c r="EB108" s="34">
        <v>0.11293103448275865</v>
      </c>
      <c r="EC108" s="32"/>
      <c r="ED108" s="32">
        <v>43</v>
      </c>
      <c r="EE108" s="32">
        <v>313</v>
      </c>
      <c r="EF108" s="32">
        <v>313</v>
      </c>
      <c r="EG108" s="32">
        <v>0</v>
      </c>
      <c r="EH108" s="32">
        <v>0</v>
      </c>
      <c r="EI108" s="32">
        <v>356</v>
      </c>
      <c r="EJ108" s="32">
        <v>0</v>
      </c>
      <c r="EK108" s="32">
        <v>59</v>
      </c>
      <c r="EL108" s="32">
        <v>59</v>
      </c>
      <c r="EM108" s="32">
        <v>52</v>
      </c>
      <c r="EN108" s="32">
        <v>7</v>
      </c>
      <c r="EO108" s="32">
        <v>13</v>
      </c>
      <c r="EP108" s="33">
        <v>20</v>
      </c>
      <c r="EQ108" s="33">
        <v>1.5</v>
      </c>
      <c r="ER108" s="33">
        <v>0.25</v>
      </c>
      <c r="ES108" s="33">
        <v>0</v>
      </c>
      <c r="ET108" s="33">
        <v>7</v>
      </c>
      <c r="EU108" s="33">
        <v>28.75</v>
      </c>
    </row>
    <row r="109" spans="1:151" ht="27.6" x14ac:dyDescent="0.3">
      <c r="A109" s="25" t="s">
        <v>147</v>
      </c>
      <c r="B109" s="26" t="s">
        <v>378</v>
      </c>
      <c r="C109" s="27" t="s">
        <v>148</v>
      </c>
      <c r="D109" s="27" t="s">
        <v>272</v>
      </c>
      <c r="E109" s="26" t="s">
        <v>504</v>
      </c>
      <c r="F109" s="26" t="s">
        <v>504</v>
      </c>
      <c r="G109" s="28">
        <v>348.48888888888888</v>
      </c>
      <c r="H109" s="28">
        <v>36.916666666666664</v>
      </c>
      <c r="I109" s="29">
        <v>58</v>
      </c>
      <c r="J109" s="29">
        <v>551</v>
      </c>
      <c r="K109" s="29">
        <v>319</v>
      </c>
      <c r="L109" s="29">
        <v>866</v>
      </c>
      <c r="M109" s="29">
        <v>1794</v>
      </c>
      <c r="N109" s="29">
        <v>1736</v>
      </c>
      <c r="O109" s="29">
        <v>928</v>
      </c>
      <c r="P109" s="29">
        <v>35</v>
      </c>
      <c r="Q109" s="27">
        <v>55.077777777777776</v>
      </c>
      <c r="R109" s="27">
        <v>83.822222222222223</v>
      </c>
      <c r="S109" s="27">
        <v>70.683333333333337</v>
      </c>
      <c r="T109" s="27">
        <v>78.483333333333334</v>
      </c>
      <c r="U109" s="27">
        <v>86.12777777777778</v>
      </c>
      <c r="V109" s="27">
        <v>100.86111111111111</v>
      </c>
      <c r="W109" s="27">
        <v>129.80000000000001</v>
      </c>
      <c r="X109" s="27">
        <v>140.6888888888889</v>
      </c>
      <c r="Y109" s="27">
        <v>192.87777777777777</v>
      </c>
      <c r="Z109" s="27">
        <v>202.51111111111112</v>
      </c>
      <c r="AA109" s="27">
        <v>202.78888888888889</v>
      </c>
      <c r="AB109" s="27">
        <v>225.00555555555556</v>
      </c>
      <c r="AC109" s="27">
        <v>177.15</v>
      </c>
      <c r="AD109" s="27">
        <v>549.77777777777783</v>
      </c>
      <c r="AE109" s="27">
        <v>333.56666666666666</v>
      </c>
      <c r="AF109" s="27">
        <v>807.45555555555552</v>
      </c>
      <c r="AG109" s="27">
        <v>938.42222222222222</v>
      </c>
      <c r="AH109" s="27">
        <v>1690.8000000000002</v>
      </c>
      <c r="AI109" s="27">
        <v>1745.8777777777777</v>
      </c>
      <c r="AJ109" s="28">
        <v>345.49444444444447</v>
      </c>
      <c r="AK109" s="28">
        <v>32.966666666666669</v>
      </c>
      <c r="AL109" s="28">
        <v>378.46111111111111</v>
      </c>
      <c r="AM109" s="29">
        <v>71</v>
      </c>
      <c r="AN109" s="35">
        <v>64</v>
      </c>
      <c r="AO109" s="27">
        <v>88</v>
      </c>
      <c r="AP109" s="27">
        <v>83</v>
      </c>
      <c r="AQ109" s="27">
        <v>93</v>
      </c>
      <c r="AR109" s="27">
        <v>95</v>
      </c>
      <c r="AS109" s="27">
        <v>109</v>
      </c>
      <c r="AT109" s="27">
        <v>145</v>
      </c>
      <c r="AU109" s="27">
        <v>181</v>
      </c>
      <c r="AV109" s="27">
        <v>178</v>
      </c>
      <c r="AW109" s="27">
        <v>207</v>
      </c>
      <c r="AX109" s="27">
        <v>238</v>
      </c>
      <c r="AY109" s="27">
        <v>193</v>
      </c>
      <c r="AZ109" s="27">
        <v>532</v>
      </c>
      <c r="BA109" s="27">
        <v>326</v>
      </c>
      <c r="BB109" s="27">
        <v>816</v>
      </c>
      <c r="BC109" s="27">
        <v>929</v>
      </c>
      <c r="BD109" s="27">
        <v>1674</v>
      </c>
      <c r="BE109" s="27">
        <v>1745</v>
      </c>
      <c r="BF109" s="27">
        <v>67</v>
      </c>
      <c r="BG109" s="27">
        <v>4</v>
      </c>
      <c r="BH109" s="27">
        <v>0</v>
      </c>
      <c r="BI109" s="27">
        <v>938</v>
      </c>
      <c r="BJ109" s="27">
        <v>307</v>
      </c>
      <c r="BK109" s="29">
        <v>36</v>
      </c>
      <c r="BL109" s="29">
        <v>343</v>
      </c>
      <c r="BM109" s="29">
        <v>81</v>
      </c>
      <c r="BN109" s="30">
        <v>7.9409515408519815E-2</v>
      </c>
      <c r="BO109" s="31">
        <v>125.45099999999999</v>
      </c>
      <c r="BP109" s="31">
        <v>123.45099999999999</v>
      </c>
      <c r="BQ109" s="31">
        <v>121</v>
      </c>
      <c r="BR109" s="31">
        <v>123</v>
      </c>
      <c r="BS109" s="32">
        <v>1620</v>
      </c>
      <c r="BT109" s="32">
        <v>990</v>
      </c>
      <c r="BU109" s="33">
        <v>1433.7722220000001</v>
      </c>
      <c r="BV109" s="33">
        <v>4.9722220000000004</v>
      </c>
      <c r="BW109" s="33">
        <v>59.544443999999999</v>
      </c>
      <c r="BX109" s="33">
        <v>64.516666666666666</v>
      </c>
      <c r="BY109" s="33">
        <v>66.45</v>
      </c>
      <c r="BZ109" s="33">
        <v>87.677777777777777</v>
      </c>
      <c r="CA109" s="33">
        <v>83.894444444444446</v>
      </c>
      <c r="CB109" s="33">
        <v>93.238888888888894</v>
      </c>
      <c r="CC109" s="33">
        <v>95.766666666666666</v>
      </c>
      <c r="CD109" s="33">
        <v>115</v>
      </c>
      <c r="CE109" s="33">
        <v>156.27777777777777</v>
      </c>
      <c r="CF109" s="33">
        <v>190.20555555555555</v>
      </c>
      <c r="CG109" s="33">
        <v>190.00555555555556</v>
      </c>
      <c r="CH109" s="33">
        <v>216.92222222222222</v>
      </c>
      <c r="CI109" s="33">
        <v>211.85</v>
      </c>
      <c r="CJ109" s="33">
        <v>163.26666666666668</v>
      </c>
      <c r="CK109" s="33">
        <v>542.02777777777783</v>
      </c>
      <c r="CL109" s="33">
        <v>346.48333333333335</v>
      </c>
      <c r="CM109" s="33">
        <v>782.04444444444448</v>
      </c>
      <c r="CN109" s="33">
        <v>953.02777777777783</v>
      </c>
      <c r="CO109" s="33">
        <v>1670.5555555555554</v>
      </c>
      <c r="CP109" s="33">
        <v>1735.0722222222221</v>
      </c>
      <c r="CQ109" s="33">
        <v>312.82777777777801</v>
      </c>
      <c r="CR109" s="33">
        <v>33.15</v>
      </c>
      <c r="CS109" s="33">
        <v>345.97777777777799</v>
      </c>
      <c r="CT109" s="33">
        <v>1337.838888</v>
      </c>
      <c r="CU109" s="33">
        <v>70</v>
      </c>
      <c r="CV109" s="32">
        <v>16</v>
      </c>
      <c r="CW109" s="32">
        <v>86</v>
      </c>
      <c r="CX109" s="32">
        <v>82</v>
      </c>
      <c r="CY109" s="32">
        <v>82</v>
      </c>
      <c r="CZ109" s="32">
        <v>90</v>
      </c>
      <c r="DA109" s="32">
        <v>91</v>
      </c>
      <c r="DB109" s="32">
        <v>114</v>
      </c>
      <c r="DC109" s="32">
        <v>130</v>
      </c>
      <c r="DD109" s="32">
        <v>149</v>
      </c>
      <c r="DE109" s="32">
        <v>228</v>
      </c>
      <c r="DF109" s="32">
        <v>203</v>
      </c>
      <c r="DG109" s="32">
        <v>228</v>
      </c>
      <c r="DH109" s="32">
        <v>231</v>
      </c>
      <c r="DI109" s="32">
        <v>183</v>
      </c>
      <c r="DJ109" s="32">
        <v>589</v>
      </c>
      <c r="DK109" s="32">
        <v>377</v>
      </c>
      <c r="DL109" s="32">
        <v>845</v>
      </c>
      <c r="DM109" s="32">
        <v>1052</v>
      </c>
      <c r="DN109" s="32">
        <v>1811</v>
      </c>
      <c r="DO109" s="32">
        <v>1897</v>
      </c>
      <c r="DP109" s="32">
        <v>0</v>
      </c>
      <c r="DQ109" s="32">
        <v>795</v>
      </c>
      <c r="DR109" s="32">
        <v>336</v>
      </c>
      <c r="DS109" s="32">
        <v>35</v>
      </c>
      <c r="DT109" s="32">
        <v>371</v>
      </c>
      <c r="DU109" s="32">
        <v>73</v>
      </c>
      <c r="DV109" s="33">
        <v>125.751</v>
      </c>
      <c r="DW109" s="33">
        <v>123.751</v>
      </c>
      <c r="DX109" s="33">
        <v>36.877000000000002</v>
      </c>
      <c r="DY109" s="33">
        <v>55.38</v>
      </c>
      <c r="DZ109" s="33">
        <v>0</v>
      </c>
      <c r="EA109" s="33">
        <v>126.75099999999999</v>
      </c>
      <c r="EB109" s="34">
        <v>8.5094513154391427E-2</v>
      </c>
      <c r="EC109" s="32"/>
      <c r="ED109" s="32">
        <v>90</v>
      </c>
      <c r="EE109" s="32">
        <v>1798</v>
      </c>
      <c r="EF109" s="32">
        <v>590</v>
      </c>
      <c r="EG109" s="32">
        <v>376</v>
      </c>
      <c r="EH109" s="32">
        <v>832</v>
      </c>
      <c r="EI109" s="32">
        <v>1888</v>
      </c>
      <c r="EJ109" s="32">
        <v>0</v>
      </c>
      <c r="EK109" s="32">
        <v>393</v>
      </c>
      <c r="EL109" s="32">
        <v>393</v>
      </c>
      <c r="EM109" s="32">
        <v>358</v>
      </c>
      <c r="EN109" s="32">
        <v>35</v>
      </c>
      <c r="EO109" s="32">
        <v>0</v>
      </c>
      <c r="EP109" s="33">
        <v>3</v>
      </c>
      <c r="EQ109" s="33">
        <v>0</v>
      </c>
      <c r="ER109" s="33">
        <v>10</v>
      </c>
      <c r="ES109" s="33">
        <v>12.5</v>
      </c>
      <c r="ET109" s="33">
        <v>0</v>
      </c>
      <c r="EU109" s="33">
        <v>25.5</v>
      </c>
    </row>
    <row r="110" spans="1:151" ht="69" x14ac:dyDescent="0.3">
      <c r="A110" s="25" t="s">
        <v>165</v>
      </c>
      <c r="B110" s="26" t="s">
        <v>390</v>
      </c>
      <c r="C110" s="27" t="s">
        <v>711</v>
      </c>
      <c r="D110" s="27" t="s">
        <v>272</v>
      </c>
      <c r="E110" s="26" t="s">
        <v>504</v>
      </c>
      <c r="F110" s="26" t="s">
        <v>504</v>
      </c>
      <c r="G110" s="28">
        <v>42.783333333333331</v>
      </c>
      <c r="H110" s="28">
        <v>1.2388888888888889</v>
      </c>
      <c r="I110" s="29">
        <v>94</v>
      </c>
      <c r="J110" s="29">
        <v>513</v>
      </c>
      <c r="K110" s="29">
        <v>48</v>
      </c>
      <c r="L110" s="29">
        <v>0</v>
      </c>
      <c r="M110" s="29">
        <v>655</v>
      </c>
      <c r="N110" s="29">
        <v>561</v>
      </c>
      <c r="O110" s="29">
        <v>655</v>
      </c>
      <c r="P110" s="29">
        <v>2</v>
      </c>
      <c r="Q110" s="27">
        <v>95.694444444444443</v>
      </c>
      <c r="R110" s="27">
        <v>94.277777777777771</v>
      </c>
      <c r="S110" s="27">
        <v>99.25555555555556</v>
      </c>
      <c r="T110" s="27">
        <v>85.322222222222223</v>
      </c>
      <c r="U110" s="27">
        <v>96.688888888888883</v>
      </c>
      <c r="V110" s="27">
        <v>68.677777777777777</v>
      </c>
      <c r="W110" s="27">
        <v>60.966666666666669</v>
      </c>
      <c r="X110" s="27">
        <v>29.427777777777777</v>
      </c>
      <c r="Y110" s="27">
        <v>16.649999999999999</v>
      </c>
      <c r="Z110" s="27">
        <v>0</v>
      </c>
      <c r="AA110" s="27">
        <v>0</v>
      </c>
      <c r="AB110" s="27">
        <v>0</v>
      </c>
      <c r="AC110" s="27">
        <v>0</v>
      </c>
      <c r="AD110" s="27">
        <v>505.18888888888887</v>
      </c>
      <c r="AE110" s="27">
        <v>46.077777777777776</v>
      </c>
      <c r="AF110" s="27">
        <v>0</v>
      </c>
      <c r="AG110" s="27">
        <v>646.96111111111111</v>
      </c>
      <c r="AH110" s="27">
        <v>551.26666666666665</v>
      </c>
      <c r="AI110" s="27">
        <v>646.96111111111111</v>
      </c>
      <c r="AJ110" s="28">
        <v>59.255555555555553</v>
      </c>
      <c r="AK110" s="28">
        <v>2</v>
      </c>
      <c r="AL110" s="28">
        <v>61.255555555555553</v>
      </c>
      <c r="AM110" s="29">
        <v>89</v>
      </c>
      <c r="AN110" s="35">
        <v>112</v>
      </c>
      <c r="AO110" s="27">
        <v>104</v>
      </c>
      <c r="AP110" s="27">
        <v>94</v>
      </c>
      <c r="AQ110" s="27">
        <v>79</v>
      </c>
      <c r="AR110" s="27">
        <v>93</v>
      </c>
      <c r="AS110" s="27">
        <v>67</v>
      </c>
      <c r="AT110" s="27">
        <v>33</v>
      </c>
      <c r="AU110" s="27">
        <v>21</v>
      </c>
      <c r="AV110" s="27">
        <v>0</v>
      </c>
      <c r="AW110" s="27">
        <v>0</v>
      </c>
      <c r="AX110" s="27">
        <v>0</v>
      </c>
      <c r="AY110" s="27">
        <v>0</v>
      </c>
      <c r="AZ110" s="27">
        <v>549</v>
      </c>
      <c r="BA110" s="27">
        <v>54</v>
      </c>
      <c r="BB110" s="27">
        <v>0</v>
      </c>
      <c r="BC110" s="27">
        <v>692</v>
      </c>
      <c r="BD110" s="27">
        <v>603</v>
      </c>
      <c r="BE110" s="27">
        <v>692</v>
      </c>
      <c r="BF110" s="27">
        <v>89</v>
      </c>
      <c r="BG110" s="27">
        <v>0</v>
      </c>
      <c r="BH110" s="27">
        <v>0</v>
      </c>
      <c r="BI110" s="27">
        <v>75</v>
      </c>
      <c r="BJ110" s="27">
        <v>61</v>
      </c>
      <c r="BK110" s="29">
        <v>3</v>
      </c>
      <c r="BL110" s="29">
        <v>64</v>
      </c>
      <c r="BM110" s="29">
        <v>1</v>
      </c>
      <c r="BN110" s="30">
        <v>6.4472840230180017E-2</v>
      </c>
      <c r="BO110" s="31">
        <v>26.838999999999999</v>
      </c>
      <c r="BP110" s="31">
        <v>25.838999999999999</v>
      </c>
      <c r="BQ110" s="31">
        <v>25.838999999999999</v>
      </c>
      <c r="BR110" s="31">
        <v>29.839000000000002</v>
      </c>
      <c r="BS110" s="32">
        <v>0</v>
      </c>
      <c r="BT110" s="32">
        <v>0</v>
      </c>
      <c r="BU110" s="33">
        <v>0</v>
      </c>
      <c r="BV110" s="33">
        <v>5.7722220000000002</v>
      </c>
      <c r="BW110" s="33">
        <v>87.383332999999993</v>
      </c>
      <c r="BX110" s="33">
        <v>93.155555555555551</v>
      </c>
      <c r="BY110" s="33">
        <v>111.20555555555555</v>
      </c>
      <c r="BZ110" s="33">
        <v>102.76666666666667</v>
      </c>
      <c r="CA110" s="33">
        <v>94.95</v>
      </c>
      <c r="CB110" s="33">
        <v>78.972222222222229</v>
      </c>
      <c r="CC110" s="33">
        <v>90.038888888888891</v>
      </c>
      <c r="CD110" s="33">
        <v>68.24444444444444</v>
      </c>
      <c r="CE110" s="33">
        <v>31.944444444444443</v>
      </c>
      <c r="CF110" s="33">
        <v>19.094444444444445</v>
      </c>
      <c r="CG110" s="33">
        <v>0</v>
      </c>
      <c r="CH110" s="33">
        <v>0</v>
      </c>
      <c r="CI110" s="33">
        <v>0</v>
      </c>
      <c r="CJ110" s="33">
        <v>0</v>
      </c>
      <c r="CK110" s="33">
        <v>546.17777777777781</v>
      </c>
      <c r="CL110" s="33">
        <v>51.038888888888891</v>
      </c>
      <c r="CM110" s="33">
        <v>0</v>
      </c>
      <c r="CN110" s="33">
        <v>690.37222222222215</v>
      </c>
      <c r="CO110" s="33">
        <v>597.2166666666667</v>
      </c>
      <c r="CP110" s="33">
        <v>690.37222222222215</v>
      </c>
      <c r="CQ110" s="33">
        <v>63.261111111111099</v>
      </c>
      <c r="CR110" s="33">
        <v>3.0222222222222199</v>
      </c>
      <c r="CS110" s="33">
        <v>66.283333333333317</v>
      </c>
      <c r="CT110" s="33">
        <v>0</v>
      </c>
      <c r="CU110" s="33">
        <v>167</v>
      </c>
      <c r="CV110" s="32">
        <v>0</v>
      </c>
      <c r="CW110" s="32">
        <v>167</v>
      </c>
      <c r="CX110" s="32">
        <v>131</v>
      </c>
      <c r="CY110" s="32">
        <v>142</v>
      </c>
      <c r="CZ110" s="32">
        <v>124</v>
      </c>
      <c r="DA110" s="32">
        <v>124</v>
      </c>
      <c r="DB110" s="32">
        <v>88</v>
      </c>
      <c r="DC110" s="32">
        <v>73</v>
      </c>
      <c r="DD110" s="32">
        <v>37</v>
      </c>
      <c r="DE110" s="32">
        <v>28</v>
      </c>
      <c r="DF110" s="32">
        <v>41</v>
      </c>
      <c r="DG110" s="32">
        <v>49</v>
      </c>
      <c r="DH110" s="32">
        <v>40</v>
      </c>
      <c r="DI110" s="32">
        <v>25</v>
      </c>
      <c r="DJ110" s="32">
        <v>682</v>
      </c>
      <c r="DK110" s="32">
        <v>65</v>
      </c>
      <c r="DL110" s="32">
        <v>155</v>
      </c>
      <c r="DM110" s="32">
        <v>914</v>
      </c>
      <c r="DN110" s="32">
        <v>902</v>
      </c>
      <c r="DO110" s="32">
        <v>1069</v>
      </c>
      <c r="DP110" s="32">
        <v>0</v>
      </c>
      <c r="DQ110" s="32">
        <v>72</v>
      </c>
      <c r="DR110" s="32">
        <v>94</v>
      </c>
      <c r="DS110" s="32">
        <v>6</v>
      </c>
      <c r="DT110" s="32">
        <v>100</v>
      </c>
      <c r="DU110" s="32">
        <v>3</v>
      </c>
      <c r="DV110" s="33">
        <v>42.841999999999999</v>
      </c>
      <c r="DW110" s="33">
        <v>40.841999999999999</v>
      </c>
      <c r="DX110" s="33">
        <v>24.987000000000002</v>
      </c>
      <c r="DY110" s="33">
        <v>11.33</v>
      </c>
      <c r="DZ110" s="33">
        <v>0</v>
      </c>
      <c r="EA110" s="33">
        <v>46.342000000000006</v>
      </c>
      <c r="EB110" s="34">
        <v>4.4289559968702263E-2</v>
      </c>
      <c r="EC110" s="32"/>
      <c r="ED110" s="32">
        <v>140</v>
      </c>
      <c r="EE110" s="32">
        <v>949</v>
      </c>
      <c r="EF110" s="32">
        <v>858</v>
      </c>
      <c r="EG110" s="32">
        <v>91</v>
      </c>
      <c r="EH110" s="32">
        <v>0</v>
      </c>
      <c r="EI110" s="32">
        <v>1089</v>
      </c>
      <c r="EJ110" s="32">
        <v>0</v>
      </c>
      <c r="EK110" s="32">
        <v>112</v>
      </c>
      <c r="EL110" s="32">
        <v>112</v>
      </c>
      <c r="EM110" s="32">
        <v>109</v>
      </c>
      <c r="EN110" s="32">
        <v>3</v>
      </c>
      <c r="EO110" s="32">
        <v>7</v>
      </c>
      <c r="EP110" s="33">
        <v>9.6999999999999993</v>
      </c>
      <c r="EQ110" s="33">
        <v>2.2999999999999998</v>
      </c>
      <c r="ER110" s="33">
        <v>4.2</v>
      </c>
      <c r="ES110" s="33">
        <v>2.2000000000000002</v>
      </c>
      <c r="ET110" s="33">
        <v>5.5</v>
      </c>
      <c r="EU110" s="33">
        <v>23.9</v>
      </c>
    </row>
    <row r="111" spans="1:151" ht="41.4" x14ac:dyDescent="0.3">
      <c r="A111" s="25" t="s">
        <v>176</v>
      </c>
      <c r="B111" s="26" t="s">
        <v>400</v>
      </c>
      <c r="C111" s="27" t="s">
        <v>712</v>
      </c>
      <c r="D111" s="27" t="s">
        <v>272</v>
      </c>
      <c r="E111" s="26" t="s">
        <v>504</v>
      </c>
      <c r="F111" s="26" t="s">
        <v>504</v>
      </c>
      <c r="G111" s="28">
        <v>82.044444444444451</v>
      </c>
      <c r="H111" s="28">
        <v>1.9111111111111112</v>
      </c>
      <c r="I111" s="29">
        <v>59</v>
      </c>
      <c r="J111" s="29">
        <v>326</v>
      </c>
      <c r="K111" s="29">
        <v>195</v>
      </c>
      <c r="L111" s="29">
        <v>101</v>
      </c>
      <c r="M111" s="29">
        <v>681</v>
      </c>
      <c r="N111" s="29">
        <v>622</v>
      </c>
      <c r="O111" s="29">
        <v>580</v>
      </c>
      <c r="P111" s="29">
        <v>3</v>
      </c>
      <c r="Q111" s="27">
        <v>58</v>
      </c>
      <c r="R111" s="27">
        <v>50.022222222222226</v>
      </c>
      <c r="S111" s="27">
        <v>46.655555555555559</v>
      </c>
      <c r="T111" s="27">
        <v>54.972222222222221</v>
      </c>
      <c r="U111" s="27">
        <v>50.955555555555556</v>
      </c>
      <c r="V111" s="27">
        <v>51.072222222222223</v>
      </c>
      <c r="W111" s="27">
        <v>61.261111111111113</v>
      </c>
      <c r="X111" s="27">
        <v>91.35</v>
      </c>
      <c r="Y111" s="27">
        <v>101.26666666666667</v>
      </c>
      <c r="Z111" s="27">
        <v>94.172222222222217</v>
      </c>
      <c r="AA111" s="27">
        <v>0</v>
      </c>
      <c r="AB111" s="27">
        <v>0</v>
      </c>
      <c r="AC111" s="27">
        <v>0</v>
      </c>
      <c r="AD111" s="27">
        <v>314.93888888888887</v>
      </c>
      <c r="AE111" s="27">
        <v>192.61666666666667</v>
      </c>
      <c r="AF111" s="27">
        <v>94.172222222222217</v>
      </c>
      <c r="AG111" s="27">
        <v>565.55555555555554</v>
      </c>
      <c r="AH111" s="27">
        <v>601.72777777777776</v>
      </c>
      <c r="AI111" s="27">
        <v>659.72777777777776</v>
      </c>
      <c r="AJ111" s="28">
        <v>74.583333333333329</v>
      </c>
      <c r="AK111" s="28">
        <v>2.8</v>
      </c>
      <c r="AL111" s="28">
        <v>77.383333333333326</v>
      </c>
      <c r="AM111" s="29">
        <v>46</v>
      </c>
      <c r="AN111" s="35">
        <v>68</v>
      </c>
      <c r="AO111" s="27">
        <v>51</v>
      </c>
      <c r="AP111" s="27">
        <v>51</v>
      </c>
      <c r="AQ111" s="27">
        <v>51</v>
      </c>
      <c r="AR111" s="27">
        <v>53</v>
      </c>
      <c r="AS111" s="27">
        <v>55</v>
      </c>
      <c r="AT111" s="27">
        <v>86</v>
      </c>
      <c r="AU111" s="27">
        <v>104</v>
      </c>
      <c r="AV111" s="27">
        <v>101</v>
      </c>
      <c r="AW111" s="27">
        <v>0</v>
      </c>
      <c r="AX111" s="27">
        <v>0</v>
      </c>
      <c r="AY111" s="27">
        <v>0</v>
      </c>
      <c r="AZ111" s="27">
        <v>329</v>
      </c>
      <c r="BA111" s="27">
        <v>190</v>
      </c>
      <c r="BB111" s="27">
        <v>101</v>
      </c>
      <c r="BC111" s="27">
        <v>565</v>
      </c>
      <c r="BD111" s="27">
        <v>620</v>
      </c>
      <c r="BE111" s="27">
        <v>666</v>
      </c>
      <c r="BF111" s="27">
        <v>46</v>
      </c>
      <c r="BG111" s="27">
        <v>0</v>
      </c>
      <c r="BH111" s="27">
        <v>0</v>
      </c>
      <c r="BI111" s="27">
        <v>21</v>
      </c>
      <c r="BJ111" s="27">
        <v>82</v>
      </c>
      <c r="BK111" s="29">
        <v>1</v>
      </c>
      <c r="BL111" s="29">
        <v>83</v>
      </c>
      <c r="BM111" s="29">
        <v>5</v>
      </c>
      <c r="BN111" s="30">
        <v>7.7049616396931309E-2</v>
      </c>
      <c r="BO111" s="31">
        <v>38.299999999999997</v>
      </c>
      <c r="BP111" s="31">
        <v>37</v>
      </c>
      <c r="BQ111" s="31">
        <v>36</v>
      </c>
      <c r="BR111" s="31">
        <v>38.299999999999997</v>
      </c>
      <c r="BS111" s="32">
        <v>0</v>
      </c>
      <c r="BT111" s="32">
        <v>0</v>
      </c>
      <c r="BU111" s="33">
        <v>0</v>
      </c>
      <c r="BV111" s="33">
        <v>0</v>
      </c>
      <c r="BW111" s="33">
        <v>44.65</v>
      </c>
      <c r="BX111" s="33">
        <v>44.65</v>
      </c>
      <c r="BY111" s="33">
        <v>66.683333333333337</v>
      </c>
      <c r="BZ111" s="33">
        <v>50.827777777777776</v>
      </c>
      <c r="CA111" s="33">
        <v>50.327777777777776</v>
      </c>
      <c r="CB111" s="33">
        <v>50.983333333333334</v>
      </c>
      <c r="CC111" s="33">
        <v>52.12777777777778</v>
      </c>
      <c r="CD111" s="33">
        <v>53.62222222222222</v>
      </c>
      <c r="CE111" s="33">
        <v>86.777777777777771</v>
      </c>
      <c r="CF111" s="33">
        <v>102.77222222222223</v>
      </c>
      <c r="CG111" s="33">
        <v>98.444444444444443</v>
      </c>
      <c r="CH111" s="33">
        <v>0</v>
      </c>
      <c r="CI111" s="33">
        <v>0</v>
      </c>
      <c r="CJ111" s="33">
        <v>0</v>
      </c>
      <c r="CK111" s="33">
        <v>324.57222222222225</v>
      </c>
      <c r="CL111" s="33">
        <v>189.55</v>
      </c>
      <c r="CM111" s="33">
        <v>98.444444444444443</v>
      </c>
      <c r="CN111" s="33">
        <v>558.77222222222224</v>
      </c>
      <c r="CO111" s="33">
        <v>612.56666666666672</v>
      </c>
      <c r="CP111" s="33">
        <v>657.2166666666667</v>
      </c>
      <c r="CQ111" s="33">
        <v>85.316666666666706</v>
      </c>
      <c r="CR111" s="33">
        <v>1.3</v>
      </c>
      <c r="CS111" s="33">
        <v>86.616666666666703</v>
      </c>
      <c r="CT111" s="33">
        <v>0</v>
      </c>
      <c r="CU111" s="33">
        <v>43</v>
      </c>
      <c r="CV111" s="32">
        <v>0</v>
      </c>
      <c r="CW111" s="32">
        <v>43</v>
      </c>
      <c r="CX111" s="32">
        <v>41</v>
      </c>
      <c r="CY111" s="32">
        <v>66</v>
      </c>
      <c r="CZ111" s="32">
        <v>53</v>
      </c>
      <c r="DA111" s="32">
        <v>51</v>
      </c>
      <c r="DB111" s="32">
        <v>55</v>
      </c>
      <c r="DC111" s="32">
        <v>61</v>
      </c>
      <c r="DD111" s="32">
        <v>103</v>
      </c>
      <c r="DE111" s="32">
        <v>91</v>
      </c>
      <c r="DF111" s="32">
        <v>104</v>
      </c>
      <c r="DG111" s="32">
        <v>0</v>
      </c>
      <c r="DH111" s="32">
        <v>0</v>
      </c>
      <c r="DI111" s="32">
        <v>0</v>
      </c>
      <c r="DJ111" s="32">
        <v>327</v>
      </c>
      <c r="DK111" s="32">
        <v>194</v>
      </c>
      <c r="DL111" s="32">
        <v>104</v>
      </c>
      <c r="DM111" s="32">
        <v>564</v>
      </c>
      <c r="DN111" s="32">
        <v>625</v>
      </c>
      <c r="DO111" s="32">
        <v>668</v>
      </c>
      <c r="DP111" s="32">
        <v>0</v>
      </c>
      <c r="DQ111" s="32">
        <v>4</v>
      </c>
      <c r="DR111" s="32">
        <v>106</v>
      </c>
      <c r="DS111" s="32">
        <v>2</v>
      </c>
      <c r="DT111" s="32">
        <v>108</v>
      </c>
      <c r="DU111" s="32">
        <v>3</v>
      </c>
      <c r="DV111" s="33">
        <v>41.3</v>
      </c>
      <c r="DW111" s="33">
        <v>40</v>
      </c>
      <c r="DX111" s="33">
        <v>18</v>
      </c>
      <c r="DY111" s="33">
        <v>18.690000000000001</v>
      </c>
      <c r="DZ111" s="33">
        <v>0</v>
      </c>
      <c r="EA111" s="33">
        <v>42</v>
      </c>
      <c r="EB111" s="34">
        <v>7.9166666666666829E-2</v>
      </c>
      <c r="EC111" s="32"/>
      <c r="ED111" s="32">
        <v>46</v>
      </c>
      <c r="EE111" s="32">
        <v>615</v>
      </c>
      <c r="EF111" s="32">
        <v>326</v>
      </c>
      <c r="EG111" s="32">
        <v>189</v>
      </c>
      <c r="EH111" s="32">
        <v>100</v>
      </c>
      <c r="EI111" s="32">
        <v>661</v>
      </c>
      <c r="EJ111" s="32">
        <v>0</v>
      </c>
      <c r="EK111" s="32">
        <v>105</v>
      </c>
      <c r="EL111" s="32">
        <v>105</v>
      </c>
      <c r="EM111" s="32">
        <v>103</v>
      </c>
      <c r="EN111" s="32">
        <v>2</v>
      </c>
      <c r="EO111" s="32">
        <v>0</v>
      </c>
      <c r="EP111" s="33">
        <v>14.625</v>
      </c>
      <c r="EQ111" s="33">
        <v>0</v>
      </c>
      <c r="ER111" s="33">
        <v>2.7130000000000001</v>
      </c>
      <c r="ES111" s="33">
        <v>0</v>
      </c>
      <c r="ET111" s="33">
        <v>0</v>
      </c>
      <c r="EU111" s="33">
        <v>17.338000000000001</v>
      </c>
    </row>
    <row r="112" spans="1:151" ht="27.6" x14ac:dyDescent="0.3">
      <c r="A112" s="25" t="s">
        <v>192</v>
      </c>
      <c r="B112" s="26" t="s">
        <v>414</v>
      </c>
      <c r="C112" s="27" t="s">
        <v>193</v>
      </c>
      <c r="D112" s="27" t="s">
        <v>272</v>
      </c>
      <c r="E112" s="26" t="s">
        <v>504</v>
      </c>
      <c r="F112" s="26" t="s">
        <v>504</v>
      </c>
      <c r="G112" s="28">
        <v>72.011111111111106</v>
      </c>
      <c r="H112" s="28">
        <v>0.21111111111111111</v>
      </c>
      <c r="I112" s="29">
        <v>69</v>
      </c>
      <c r="J112" s="29">
        <v>453</v>
      </c>
      <c r="K112" s="29">
        <v>0</v>
      </c>
      <c r="L112" s="29">
        <v>0</v>
      </c>
      <c r="M112" s="29">
        <v>522</v>
      </c>
      <c r="N112" s="29">
        <v>453</v>
      </c>
      <c r="O112" s="29">
        <v>522</v>
      </c>
      <c r="P112" s="29">
        <v>0</v>
      </c>
      <c r="Q112" s="27">
        <v>68.388888888888886</v>
      </c>
      <c r="R112" s="27">
        <v>83.738888888888894</v>
      </c>
      <c r="S112" s="27">
        <v>76.316666666666663</v>
      </c>
      <c r="T112" s="27">
        <v>74.038888888888891</v>
      </c>
      <c r="U112" s="27">
        <v>76.166666666666671</v>
      </c>
      <c r="V112" s="27">
        <v>69.349999999999994</v>
      </c>
      <c r="W112" s="27">
        <v>73.677777777777777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453.28888888888889</v>
      </c>
      <c r="AE112" s="27">
        <v>0</v>
      </c>
      <c r="AF112" s="27">
        <v>0</v>
      </c>
      <c r="AG112" s="27">
        <v>521.67777777777781</v>
      </c>
      <c r="AH112" s="27">
        <v>453.28888888888889</v>
      </c>
      <c r="AI112" s="27">
        <v>521.67777777777781</v>
      </c>
      <c r="AJ112" s="28">
        <v>74.25</v>
      </c>
      <c r="AK112" s="28">
        <v>0</v>
      </c>
      <c r="AL112" s="28">
        <v>74.25</v>
      </c>
      <c r="AM112" s="29">
        <v>82</v>
      </c>
      <c r="AN112" s="35">
        <v>70</v>
      </c>
      <c r="AO112" s="27">
        <v>83</v>
      </c>
      <c r="AP112" s="27">
        <v>81</v>
      </c>
      <c r="AQ112" s="27">
        <v>77</v>
      </c>
      <c r="AR112" s="27">
        <v>69</v>
      </c>
      <c r="AS112" s="27">
        <v>70</v>
      </c>
      <c r="AT112" s="27">
        <v>0</v>
      </c>
      <c r="AU112" s="27">
        <v>0</v>
      </c>
      <c r="AV112" s="27">
        <v>0</v>
      </c>
      <c r="AW112" s="27">
        <v>0</v>
      </c>
      <c r="AX112" s="27">
        <v>0</v>
      </c>
      <c r="AY112" s="27">
        <v>0</v>
      </c>
      <c r="AZ112" s="27">
        <v>450</v>
      </c>
      <c r="BA112" s="27">
        <v>0</v>
      </c>
      <c r="BB112" s="27">
        <v>0</v>
      </c>
      <c r="BC112" s="27">
        <v>532</v>
      </c>
      <c r="BD112" s="27">
        <v>450</v>
      </c>
      <c r="BE112" s="27">
        <v>532</v>
      </c>
      <c r="BF112" s="27">
        <v>42</v>
      </c>
      <c r="BG112" s="27">
        <v>40</v>
      </c>
      <c r="BH112" s="27">
        <v>0</v>
      </c>
      <c r="BI112" s="27">
        <v>149</v>
      </c>
      <c r="BJ112" s="27">
        <v>79</v>
      </c>
      <c r="BK112" s="29">
        <v>0</v>
      </c>
      <c r="BL112" s="29">
        <v>79</v>
      </c>
      <c r="BM112" s="29">
        <v>7</v>
      </c>
      <c r="BN112" s="30">
        <v>7.03125E-2</v>
      </c>
      <c r="BO112" s="31">
        <v>25.125</v>
      </c>
      <c r="BP112" s="31">
        <v>24.125</v>
      </c>
      <c r="BQ112" s="31">
        <v>24.125</v>
      </c>
      <c r="BR112" s="31">
        <v>27.125</v>
      </c>
      <c r="BS112" s="32">
        <v>0</v>
      </c>
      <c r="BT112" s="32">
        <v>0</v>
      </c>
      <c r="BU112" s="33">
        <v>0</v>
      </c>
      <c r="BV112" s="33">
        <v>38.905555</v>
      </c>
      <c r="BW112" s="33">
        <v>41.166665999999999</v>
      </c>
      <c r="BX112" s="33">
        <v>80.072222222222223</v>
      </c>
      <c r="BY112" s="33">
        <v>68.294444444444451</v>
      </c>
      <c r="BZ112" s="33">
        <v>80.805555555555557</v>
      </c>
      <c r="CA112" s="33">
        <v>80.861111111111114</v>
      </c>
      <c r="CB112" s="33">
        <v>76.75555555555556</v>
      </c>
      <c r="CC112" s="33">
        <v>70.49444444444444</v>
      </c>
      <c r="CD112" s="33">
        <v>70.694444444444443</v>
      </c>
      <c r="CE112" s="33">
        <v>0</v>
      </c>
      <c r="CF112" s="33">
        <v>0</v>
      </c>
      <c r="CG112" s="33">
        <v>0</v>
      </c>
      <c r="CH112" s="33">
        <v>0</v>
      </c>
      <c r="CI112" s="33">
        <v>0</v>
      </c>
      <c r="CJ112" s="33">
        <v>0</v>
      </c>
      <c r="CK112" s="33">
        <v>447.90555555555557</v>
      </c>
      <c r="CL112" s="33">
        <v>0</v>
      </c>
      <c r="CM112" s="33">
        <v>0</v>
      </c>
      <c r="CN112" s="33">
        <v>527.97777777777776</v>
      </c>
      <c r="CO112" s="33">
        <v>447.90555555555557</v>
      </c>
      <c r="CP112" s="33">
        <v>527.97777777777776</v>
      </c>
      <c r="CQ112" s="33">
        <v>79.077777777777797</v>
      </c>
      <c r="CR112" s="33">
        <v>0</v>
      </c>
      <c r="CS112" s="33">
        <v>79.077777777777797</v>
      </c>
      <c r="CT112" s="33">
        <v>0</v>
      </c>
      <c r="CU112" s="33">
        <v>43</v>
      </c>
      <c r="CV112" s="32">
        <v>33</v>
      </c>
      <c r="CW112" s="32">
        <v>76</v>
      </c>
      <c r="CX112" s="32">
        <v>76</v>
      </c>
      <c r="CY112" s="32">
        <v>73</v>
      </c>
      <c r="CZ112" s="32">
        <v>77</v>
      </c>
      <c r="DA112" s="32">
        <v>79</v>
      </c>
      <c r="DB112" s="32">
        <v>74</v>
      </c>
      <c r="DC112" s="32">
        <v>74</v>
      </c>
      <c r="DD112" s="32">
        <v>0</v>
      </c>
      <c r="DE112" s="32">
        <v>0</v>
      </c>
      <c r="DF112" s="32">
        <v>0</v>
      </c>
      <c r="DG112" s="32">
        <v>0</v>
      </c>
      <c r="DH112" s="32">
        <v>0</v>
      </c>
      <c r="DI112" s="32">
        <v>0</v>
      </c>
      <c r="DJ112" s="32">
        <v>453</v>
      </c>
      <c r="DK112" s="32">
        <v>0</v>
      </c>
      <c r="DL112" s="32">
        <v>0</v>
      </c>
      <c r="DM112" s="32">
        <v>529</v>
      </c>
      <c r="DN112" s="32">
        <v>453</v>
      </c>
      <c r="DO112" s="32">
        <v>529</v>
      </c>
      <c r="DP112" s="32">
        <v>0</v>
      </c>
      <c r="DQ112" s="32">
        <v>111</v>
      </c>
      <c r="DR112" s="32">
        <v>78</v>
      </c>
      <c r="DS112" s="32">
        <v>0</v>
      </c>
      <c r="DT112" s="32">
        <v>78</v>
      </c>
      <c r="DU112" s="32">
        <v>5</v>
      </c>
      <c r="DV112" s="33">
        <v>25.125</v>
      </c>
      <c r="DW112" s="33">
        <v>24.125</v>
      </c>
      <c r="DX112" s="33">
        <v>21.125</v>
      </c>
      <c r="DY112" s="33">
        <v>0</v>
      </c>
      <c r="DZ112" s="33">
        <v>0</v>
      </c>
      <c r="EA112" s="33">
        <v>28.125</v>
      </c>
      <c r="EB112" s="34">
        <v>8.1481481481481544E-2</v>
      </c>
      <c r="EC112" s="32"/>
      <c r="ED112" s="32">
        <v>75</v>
      </c>
      <c r="EE112" s="32">
        <v>449</v>
      </c>
      <c r="EF112" s="32">
        <v>449</v>
      </c>
      <c r="EG112" s="32">
        <v>0</v>
      </c>
      <c r="EH112" s="32">
        <v>0</v>
      </c>
      <c r="EI112" s="32">
        <v>524</v>
      </c>
      <c r="EJ112" s="32">
        <v>0</v>
      </c>
      <c r="EK112" s="32">
        <v>78</v>
      </c>
      <c r="EL112" s="32">
        <v>78</v>
      </c>
      <c r="EM112" s="32">
        <v>78</v>
      </c>
      <c r="EN112" s="32">
        <v>0</v>
      </c>
      <c r="EO112" s="32">
        <v>6</v>
      </c>
      <c r="EP112" s="33">
        <v>16.07</v>
      </c>
      <c r="EQ112" s="33">
        <v>0</v>
      </c>
      <c r="ER112" s="33">
        <v>2</v>
      </c>
      <c r="ES112" s="33">
        <v>0</v>
      </c>
      <c r="ET112" s="33">
        <v>4.5999999999999996</v>
      </c>
      <c r="EU112" s="33">
        <v>22.67</v>
      </c>
    </row>
    <row r="113" spans="1:151" ht="55.2" x14ac:dyDescent="0.3">
      <c r="A113" s="25" t="s">
        <v>203</v>
      </c>
      <c r="B113" s="26" t="s">
        <v>424</v>
      </c>
      <c r="C113" s="27" t="s">
        <v>713</v>
      </c>
      <c r="D113" s="27" t="s">
        <v>272</v>
      </c>
      <c r="E113" s="26" t="s">
        <v>504</v>
      </c>
      <c r="F113" s="26" t="s">
        <v>504</v>
      </c>
      <c r="G113" s="28">
        <v>67.805555555555557</v>
      </c>
      <c r="H113" s="28">
        <v>3.3111111111111109</v>
      </c>
      <c r="I113" s="29">
        <v>48</v>
      </c>
      <c r="J113" s="29">
        <v>314</v>
      </c>
      <c r="K113" s="29">
        <v>74</v>
      </c>
      <c r="L113" s="29">
        <v>27</v>
      </c>
      <c r="M113" s="29">
        <v>463</v>
      </c>
      <c r="N113" s="29">
        <v>415</v>
      </c>
      <c r="O113" s="29">
        <v>436</v>
      </c>
      <c r="P113" s="29">
        <v>3</v>
      </c>
      <c r="Q113" s="27">
        <v>48.75</v>
      </c>
      <c r="R113" s="27">
        <v>51.18333333333333</v>
      </c>
      <c r="S113" s="27">
        <v>49.93888888888889</v>
      </c>
      <c r="T113" s="27">
        <v>53.783333333333331</v>
      </c>
      <c r="U113" s="27">
        <v>52.93888888888889</v>
      </c>
      <c r="V113" s="27">
        <v>54.038888888888891</v>
      </c>
      <c r="W113" s="27">
        <v>44.322222222222223</v>
      </c>
      <c r="X113" s="27">
        <v>42.944444444444443</v>
      </c>
      <c r="Y113" s="27">
        <v>28.627777777777776</v>
      </c>
      <c r="Z113" s="27">
        <v>27.05</v>
      </c>
      <c r="AA113" s="27">
        <v>0</v>
      </c>
      <c r="AB113" s="27">
        <v>0</v>
      </c>
      <c r="AC113" s="27">
        <v>0</v>
      </c>
      <c r="AD113" s="27">
        <v>306.20555555555552</v>
      </c>
      <c r="AE113" s="27">
        <v>71.572222222222223</v>
      </c>
      <c r="AF113" s="27">
        <v>27.05</v>
      </c>
      <c r="AG113" s="27">
        <v>426.52777777777777</v>
      </c>
      <c r="AH113" s="27">
        <v>404.82777777777778</v>
      </c>
      <c r="AI113" s="27">
        <v>453.57777777777778</v>
      </c>
      <c r="AJ113" s="28">
        <v>66.444444444444443</v>
      </c>
      <c r="AK113" s="28">
        <v>1.3277777777777777</v>
      </c>
      <c r="AL113" s="28">
        <v>67.772222222222226</v>
      </c>
      <c r="AM113" s="29">
        <v>69</v>
      </c>
      <c r="AN113" s="35">
        <v>47</v>
      </c>
      <c r="AO113" s="27">
        <v>51</v>
      </c>
      <c r="AP113" s="27">
        <v>57</v>
      </c>
      <c r="AQ113" s="27">
        <v>52</v>
      </c>
      <c r="AR113" s="27">
        <v>53</v>
      </c>
      <c r="AS113" s="27">
        <v>55</v>
      </c>
      <c r="AT113" s="27">
        <v>21</v>
      </c>
      <c r="AU113" s="27">
        <v>37</v>
      </c>
      <c r="AV113" s="27">
        <v>21</v>
      </c>
      <c r="AW113" s="27">
        <v>0</v>
      </c>
      <c r="AX113" s="27">
        <v>0</v>
      </c>
      <c r="AY113" s="27">
        <v>0</v>
      </c>
      <c r="AZ113" s="27">
        <v>315</v>
      </c>
      <c r="BA113" s="27">
        <v>58</v>
      </c>
      <c r="BB113" s="27">
        <v>21</v>
      </c>
      <c r="BC113" s="27">
        <v>442</v>
      </c>
      <c r="BD113" s="27">
        <v>394</v>
      </c>
      <c r="BE113" s="27">
        <v>463</v>
      </c>
      <c r="BF113" s="27">
        <v>25</v>
      </c>
      <c r="BG113" s="27">
        <v>44</v>
      </c>
      <c r="BH113" s="27">
        <v>0</v>
      </c>
      <c r="BI113" s="27">
        <v>78</v>
      </c>
      <c r="BJ113" s="27">
        <v>68</v>
      </c>
      <c r="BK113" s="29">
        <v>2</v>
      </c>
      <c r="BL113" s="29">
        <v>70</v>
      </c>
      <c r="BM113" s="29">
        <v>14</v>
      </c>
      <c r="BN113" s="30">
        <v>7.006097560975616E-2</v>
      </c>
      <c r="BO113" s="31">
        <v>27.116</v>
      </c>
      <c r="BP113" s="31">
        <v>26.116</v>
      </c>
      <c r="BQ113" s="31">
        <v>25.116</v>
      </c>
      <c r="BR113" s="31">
        <v>27.116</v>
      </c>
      <c r="BS113" s="32">
        <v>0</v>
      </c>
      <c r="BT113" s="32">
        <v>0</v>
      </c>
      <c r="BU113" s="33">
        <v>0</v>
      </c>
      <c r="BV113" s="33">
        <v>43.2</v>
      </c>
      <c r="BW113" s="33">
        <v>24.477777</v>
      </c>
      <c r="BX113" s="33">
        <v>67.677777777777777</v>
      </c>
      <c r="BY113" s="33">
        <v>51.144444444444446</v>
      </c>
      <c r="BZ113" s="33">
        <v>45.68333333333333</v>
      </c>
      <c r="CA113" s="33">
        <v>53.644444444444446</v>
      </c>
      <c r="CB113" s="33">
        <v>51.255555555555553</v>
      </c>
      <c r="CC113" s="33">
        <v>50.522222222222226</v>
      </c>
      <c r="CD113" s="33">
        <v>54.716666666666669</v>
      </c>
      <c r="CE113" s="33">
        <v>20.588888888888889</v>
      </c>
      <c r="CF113" s="33">
        <v>34.444444444444443</v>
      </c>
      <c r="CG113" s="33">
        <v>20.18888888888889</v>
      </c>
      <c r="CH113" s="33">
        <v>0</v>
      </c>
      <c r="CI113" s="33">
        <v>0</v>
      </c>
      <c r="CJ113" s="33">
        <v>0</v>
      </c>
      <c r="CK113" s="33">
        <v>306.9666666666667</v>
      </c>
      <c r="CL113" s="33">
        <v>55.033333333333331</v>
      </c>
      <c r="CM113" s="33">
        <v>20.18888888888889</v>
      </c>
      <c r="CN113" s="33">
        <v>429.67777777777786</v>
      </c>
      <c r="CO113" s="33">
        <v>382.18888888888893</v>
      </c>
      <c r="CP113" s="33">
        <v>449.86666666666673</v>
      </c>
      <c r="CQ113" s="33">
        <v>64.877777777777794</v>
      </c>
      <c r="CR113" s="33">
        <v>3</v>
      </c>
      <c r="CS113" s="33">
        <v>67.877777777777794</v>
      </c>
      <c r="CT113" s="33">
        <v>0</v>
      </c>
      <c r="CU113" s="33">
        <v>45</v>
      </c>
      <c r="CV113" s="32">
        <v>8</v>
      </c>
      <c r="CW113" s="32">
        <v>53</v>
      </c>
      <c r="CX113" s="32">
        <v>52</v>
      </c>
      <c r="CY113" s="32">
        <v>55</v>
      </c>
      <c r="CZ113" s="32">
        <v>51</v>
      </c>
      <c r="DA113" s="32">
        <v>52</v>
      </c>
      <c r="DB113" s="32">
        <v>52</v>
      </c>
      <c r="DC113" s="32">
        <v>54</v>
      </c>
      <c r="DD113" s="32">
        <v>34</v>
      </c>
      <c r="DE113" s="32">
        <v>21</v>
      </c>
      <c r="DF113" s="32">
        <v>27</v>
      </c>
      <c r="DG113" s="32">
        <v>0</v>
      </c>
      <c r="DH113" s="32">
        <v>0</v>
      </c>
      <c r="DI113" s="32">
        <v>0</v>
      </c>
      <c r="DJ113" s="32">
        <v>316</v>
      </c>
      <c r="DK113" s="32">
        <v>55</v>
      </c>
      <c r="DL113" s="32">
        <v>27</v>
      </c>
      <c r="DM113" s="32">
        <v>424</v>
      </c>
      <c r="DN113" s="32">
        <v>398</v>
      </c>
      <c r="DO113" s="32">
        <v>451</v>
      </c>
      <c r="DP113" s="32">
        <v>0</v>
      </c>
      <c r="DQ113" s="32">
        <v>76</v>
      </c>
      <c r="DR113" s="32">
        <v>72</v>
      </c>
      <c r="DS113" s="32">
        <v>3</v>
      </c>
      <c r="DT113" s="32">
        <v>75</v>
      </c>
      <c r="DU113" s="32">
        <v>19</v>
      </c>
      <c r="DV113" s="33">
        <v>27.145000000000003</v>
      </c>
      <c r="DW113" s="33">
        <v>26.145000000000003</v>
      </c>
      <c r="DX113" s="33">
        <v>16.36</v>
      </c>
      <c r="DY113" s="33">
        <v>5.7299999999999995</v>
      </c>
      <c r="DZ113" s="33">
        <v>0</v>
      </c>
      <c r="EA113" s="33">
        <v>27.145</v>
      </c>
      <c r="EB113" s="34">
        <v>7.3668216286247756E-2</v>
      </c>
      <c r="EC113" s="32"/>
      <c r="ED113" s="32">
        <v>51</v>
      </c>
      <c r="EE113" s="32">
        <v>398</v>
      </c>
      <c r="EF113" s="32">
        <v>316</v>
      </c>
      <c r="EG113" s="32">
        <v>63</v>
      </c>
      <c r="EH113" s="32">
        <v>19</v>
      </c>
      <c r="EI113" s="32">
        <v>449</v>
      </c>
      <c r="EJ113" s="32">
        <v>0</v>
      </c>
      <c r="EK113" s="32">
        <v>72</v>
      </c>
      <c r="EL113" s="32">
        <v>72</v>
      </c>
      <c r="EM113" s="32">
        <v>68</v>
      </c>
      <c r="EN113" s="32">
        <v>4</v>
      </c>
      <c r="EO113" s="32">
        <v>5</v>
      </c>
      <c r="EP113" s="33">
        <v>19.75</v>
      </c>
      <c r="EQ113" s="33">
        <v>0</v>
      </c>
      <c r="ER113" s="33">
        <v>2.625</v>
      </c>
      <c r="ES113" s="33">
        <v>0</v>
      </c>
      <c r="ET113" s="33">
        <v>3.9249999999999998</v>
      </c>
      <c r="EU113" s="33">
        <v>26.3</v>
      </c>
    </row>
    <row r="114" spans="1:151" ht="55.2" x14ac:dyDescent="0.3">
      <c r="A114" s="25" t="s">
        <v>221</v>
      </c>
      <c r="B114" s="26" t="s">
        <v>436</v>
      </c>
      <c r="C114" s="27" t="s">
        <v>714</v>
      </c>
      <c r="D114" s="27" t="s">
        <v>272</v>
      </c>
      <c r="E114" s="26" t="s">
        <v>504</v>
      </c>
      <c r="F114" s="26" t="s">
        <v>504</v>
      </c>
      <c r="G114" s="28">
        <v>96.833333333333329</v>
      </c>
      <c r="H114" s="28">
        <v>4.1833333333333336</v>
      </c>
      <c r="I114" s="29">
        <v>74</v>
      </c>
      <c r="J114" s="29">
        <v>406</v>
      </c>
      <c r="K114" s="29">
        <v>155</v>
      </c>
      <c r="L114" s="29">
        <v>0</v>
      </c>
      <c r="M114" s="29">
        <v>635</v>
      </c>
      <c r="N114" s="29">
        <v>561</v>
      </c>
      <c r="O114" s="29">
        <v>635</v>
      </c>
      <c r="P114" s="29">
        <v>7</v>
      </c>
      <c r="Q114" s="27">
        <v>73.55</v>
      </c>
      <c r="R114" s="27">
        <v>74.355555555555554</v>
      </c>
      <c r="S114" s="27">
        <v>75.900000000000006</v>
      </c>
      <c r="T114" s="27">
        <v>62.588888888888889</v>
      </c>
      <c r="U114" s="27">
        <v>62.06666666666667</v>
      </c>
      <c r="V114" s="27">
        <v>60.727777777777774</v>
      </c>
      <c r="W114" s="27">
        <v>62.12777777777778</v>
      </c>
      <c r="X114" s="27">
        <v>72.333333333333329</v>
      </c>
      <c r="Y114" s="27">
        <v>80.288888888888891</v>
      </c>
      <c r="Z114" s="27">
        <v>0</v>
      </c>
      <c r="AA114" s="27">
        <v>0</v>
      </c>
      <c r="AB114" s="27">
        <v>0</v>
      </c>
      <c r="AC114" s="27">
        <v>0</v>
      </c>
      <c r="AD114" s="27">
        <v>397.76666666666665</v>
      </c>
      <c r="AE114" s="27">
        <v>152.62222222222221</v>
      </c>
      <c r="AF114" s="27">
        <v>0</v>
      </c>
      <c r="AG114" s="27">
        <v>623.93888888888887</v>
      </c>
      <c r="AH114" s="27">
        <v>550.38888888888891</v>
      </c>
      <c r="AI114" s="27">
        <v>623.93888888888887</v>
      </c>
      <c r="AJ114" s="28">
        <v>96.25</v>
      </c>
      <c r="AK114" s="28">
        <v>5.0333333333333332</v>
      </c>
      <c r="AL114" s="28">
        <v>101.28333333333333</v>
      </c>
      <c r="AM114" s="29">
        <v>74</v>
      </c>
      <c r="AN114" s="35">
        <v>78</v>
      </c>
      <c r="AO114" s="27">
        <v>80</v>
      </c>
      <c r="AP114" s="27">
        <v>78</v>
      </c>
      <c r="AQ114" s="27">
        <v>62</v>
      </c>
      <c r="AR114" s="27">
        <v>64</v>
      </c>
      <c r="AS114" s="27">
        <v>67</v>
      </c>
      <c r="AT114" s="27">
        <v>62</v>
      </c>
      <c r="AU114" s="27">
        <v>60</v>
      </c>
      <c r="AV114" s="27">
        <v>0</v>
      </c>
      <c r="AW114" s="27">
        <v>0</v>
      </c>
      <c r="AX114" s="27">
        <v>0</v>
      </c>
      <c r="AY114" s="27">
        <v>0</v>
      </c>
      <c r="AZ114" s="27">
        <v>429</v>
      </c>
      <c r="BA114" s="27">
        <v>122</v>
      </c>
      <c r="BB114" s="27">
        <v>0</v>
      </c>
      <c r="BC114" s="27">
        <v>625</v>
      </c>
      <c r="BD114" s="27">
        <v>551</v>
      </c>
      <c r="BE114" s="27">
        <v>625</v>
      </c>
      <c r="BF114" s="27">
        <v>0</v>
      </c>
      <c r="BG114" s="27">
        <v>74</v>
      </c>
      <c r="BH114" s="27">
        <v>0</v>
      </c>
      <c r="BI114" s="27">
        <v>121</v>
      </c>
      <c r="BJ114" s="27">
        <v>88</v>
      </c>
      <c r="BK114" s="29">
        <v>2</v>
      </c>
      <c r="BL114" s="29">
        <v>90</v>
      </c>
      <c r="BM114" s="29">
        <v>1</v>
      </c>
      <c r="BN114" s="30">
        <v>5.8640939597315533E-2</v>
      </c>
      <c r="BO114" s="31">
        <v>36.375</v>
      </c>
      <c r="BP114" s="31">
        <v>36.375</v>
      </c>
      <c r="BQ114" s="31">
        <v>33.274999999999999</v>
      </c>
      <c r="BR114" s="31">
        <v>36.675000000000004</v>
      </c>
      <c r="BS114" s="32">
        <v>0</v>
      </c>
      <c r="BT114" s="32">
        <v>0</v>
      </c>
      <c r="BU114" s="33">
        <v>0</v>
      </c>
      <c r="BV114" s="33">
        <v>72.105554999999995</v>
      </c>
      <c r="BW114" s="33">
        <v>0</v>
      </c>
      <c r="BX114" s="33">
        <v>72.105555555555554</v>
      </c>
      <c r="BY114" s="33">
        <v>76.438888888888883</v>
      </c>
      <c r="BZ114" s="33">
        <v>78.933333333333337</v>
      </c>
      <c r="CA114" s="33">
        <v>76.027777777777771</v>
      </c>
      <c r="CB114" s="33">
        <v>61.12777777777778</v>
      </c>
      <c r="CC114" s="33">
        <v>61.961111111111109</v>
      </c>
      <c r="CD114" s="33">
        <v>66.727777777777774</v>
      </c>
      <c r="CE114" s="33">
        <v>61.37777777777778</v>
      </c>
      <c r="CF114" s="33">
        <v>59.866666666666667</v>
      </c>
      <c r="CG114" s="33">
        <v>0</v>
      </c>
      <c r="CH114" s="33">
        <v>0</v>
      </c>
      <c r="CI114" s="33">
        <v>0</v>
      </c>
      <c r="CJ114" s="33">
        <v>0</v>
      </c>
      <c r="CK114" s="33">
        <v>421.21666666666664</v>
      </c>
      <c r="CL114" s="33">
        <v>121.24444444444444</v>
      </c>
      <c r="CM114" s="33">
        <v>0</v>
      </c>
      <c r="CN114" s="33">
        <v>614.56666666666661</v>
      </c>
      <c r="CO114" s="33">
        <v>542.46111111111111</v>
      </c>
      <c r="CP114" s="33">
        <v>614.56666666666661</v>
      </c>
      <c r="CQ114" s="33">
        <v>88.577777777777797</v>
      </c>
      <c r="CR114" s="33">
        <v>2.0555555555555598</v>
      </c>
      <c r="CS114" s="33">
        <v>90.633333333333354</v>
      </c>
      <c r="CT114" s="33">
        <v>0</v>
      </c>
      <c r="CU114" s="33">
        <v>75</v>
      </c>
      <c r="CV114" s="32">
        <v>0</v>
      </c>
      <c r="CW114" s="32">
        <v>75</v>
      </c>
      <c r="CX114" s="32">
        <v>77</v>
      </c>
      <c r="CY114" s="32">
        <v>77</v>
      </c>
      <c r="CZ114" s="32">
        <v>80</v>
      </c>
      <c r="DA114" s="32">
        <v>78</v>
      </c>
      <c r="DB114" s="32">
        <v>61</v>
      </c>
      <c r="DC114" s="32">
        <v>63</v>
      </c>
      <c r="DD114" s="32">
        <v>64</v>
      </c>
      <c r="DE114" s="32">
        <v>53</v>
      </c>
      <c r="DF114" s="32">
        <v>0</v>
      </c>
      <c r="DG114" s="32">
        <v>0</v>
      </c>
      <c r="DH114" s="32">
        <v>0</v>
      </c>
      <c r="DI114" s="32">
        <v>0</v>
      </c>
      <c r="DJ114" s="32">
        <v>436</v>
      </c>
      <c r="DK114" s="32">
        <v>117</v>
      </c>
      <c r="DL114" s="32">
        <v>0</v>
      </c>
      <c r="DM114" s="32">
        <v>628</v>
      </c>
      <c r="DN114" s="32">
        <v>553</v>
      </c>
      <c r="DO114" s="32">
        <v>628</v>
      </c>
      <c r="DP114" s="32">
        <v>0</v>
      </c>
      <c r="DQ114" s="32">
        <v>116</v>
      </c>
      <c r="DR114" s="32">
        <v>88</v>
      </c>
      <c r="DS114" s="32">
        <v>0</v>
      </c>
      <c r="DT114" s="32">
        <v>88</v>
      </c>
      <c r="DU114" s="32">
        <v>1</v>
      </c>
      <c r="DV114" s="33">
        <v>36.700000000000003</v>
      </c>
      <c r="DW114" s="33">
        <v>36.200000000000003</v>
      </c>
      <c r="DX114" s="33">
        <v>25.35</v>
      </c>
      <c r="DY114" s="33">
        <v>7</v>
      </c>
      <c r="DZ114" s="33">
        <v>0</v>
      </c>
      <c r="EA114" s="33">
        <v>38.075000000000003</v>
      </c>
      <c r="EB114" s="34">
        <v>6.0684647302904571E-2</v>
      </c>
      <c r="EC114" s="32"/>
      <c r="ED114" s="32">
        <v>74</v>
      </c>
      <c r="EE114" s="32">
        <v>553</v>
      </c>
      <c r="EF114" s="32">
        <v>433</v>
      </c>
      <c r="EG114" s="32">
        <v>120</v>
      </c>
      <c r="EH114" s="32">
        <v>0</v>
      </c>
      <c r="EI114" s="32">
        <v>627</v>
      </c>
      <c r="EJ114" s="32">
        <v>0</v>
      </c>
      <c r="EK114" s="32">
        <v>92</v>
      </c>
      <c r="EL114" s="32">
        <v>92</v>
      </c>
      <c r="EM114" s="32">
        <v>92</v>
      </c>
      <c r="EN114" s="32">
        <v>0</v>
      </c>
      <c r="EO114" s="32">
        <v>9</v>
      </c>
      <c r="EP114" s="33">
        <v>20</v>
      </c>
      <c r="EQ114" s="33">
        <v>0.72</v>
      </c>
      <c r="ER114" s="33">
        <v>1.1000000000000001</v>
      </c>
      <c r="ES114" s="33">
        <v>1.38</v>
      </c>
      <c r="ET114" s="33">
        <v>11.68</v>
      </c>
      <c r="EU114" s="33">
        <v>34.879999999999995</v>
      </c>
    </row>
    <row r="115" spans="1:151" ht="55.2" x14ac:dyDescent="0.3">
      <c r="A115" s="25" t="s">
        <v>237</v>
      </c>
      <c r="B115" s="26" t="s">
        <v>445</v>
      </c>
      <c r="C115" s="27" t="s">
        <v>238</v>
      </c>
      <c r="D115" s="27" t="s">
        <v>272</v>
      </c>
      <c r="E115" s="26" t="s">
        <v>504</v>
      </c>
      <c r="F115" s="26" t="s">
        <v>504</v>
      </c>
      <c r="G115" s="28">
        <v>77.099999999999994</v>
      </c>
      <c r="H115" s="28">
        <v>5.0999999999999996</v>
      </c>
      <c r="I115" s="29">
        <v>86</v>
      </c>
      <c r="J115" s="29">
        <v>381</v>
      </c>
      <c r="K115" s="29">
        <v>57</v>
      </c>
      <c r="L115" s="29">
        <v>0</v>
      </c>
      <c r="M115" s="29">
        <v>524</v>
      </c>
      <c r="N115" s="29">
        <v>438</v>
      </c>
      <c r="O115" s="29">
        <v>524</v>
      </c>
      <c r="P115" s="29">
        <v>4</v>
      </c>
      <c r="Q115" s="27">
        <v>80.844444444444449</v>
      </c>
      <c r="R115" s="27">
        <v>75.477777777777774</v>
      </c>
      <c r="S115" s="27">
        <v>72.461111111111109</v>
      </c>
      <c r="T115" s="27">
        <v>54.783333333333331</v>
      </c>
      <c r="U115" s="27">
        <v>59.916666666666664</v>
      </c>
      <c r="V115" s="27">
        <v>42.87777777777778</v>
      </c>
      <c r="W115" s="27">
        <v>52.233333333333334</v>
      </c>
      <c r="X115" s="27">
        <v>29.81111111111111</v>
      </c>
      <c r="Y115" s="27">
        <v>25.283333333333335</v>
      </c>
      <c r="Z115" s="27">
        <v>0</v>
      </c>
      <c r="AA115" s="27">
        <v>0</v>
      </c>
      <c r="AB115" s="27">
        <v>0</v>
      </c>
      <c r="AC115" s="27">
        <v>0</v>
      </c>
      <c r="AD115" s="27">
        <v>357.75</v>
      </c>
      <c r="AE115" s="27">
        <v>55.094444444444449</v>
      </c>
      <c r="AF115" s="27">
        <v>0</v>
      </c>
      <c r="AG115" s="27">
        <v>493.68888888888898</v>
      </c>
      <c r="AH115" s="27">
        <v>412.84444444444449</v>
      </c>
      <c r="AI115" s="27">
        <v>493.68888888888898</v>
      </c>
      <c r="AJ115" s="28">
        <v>70.538888888888891</v>
      </c>
      <c r="AK115" s="28">
        <v>3.2388888888888889</v>
      </c>
      <c r="AL115" s="28">
        <v>73.777777777777786</v>
      </c>
      <c r="AM115" s="29">
        <v>79</v>
      </c>
      <c r="AN115" s="35">
        <v>78</v>
      </c>
      <c r="AO115" s="27">
        <v>67</v>
      </c>
      <c r="AP115" s="27">
        <v>60</v>
      </c>
      <c r="AQ115" s="27">
        <v>45</v>
      </c>
      <c r="AR115" s="27">
        <v>54</v>
      </c>
      <c r="AS115" s="27">
        <v>37</v>
      </c>
      <c r="AT115" s="27">
        <v>26</v>
      </c>
      <c r="AU115" s="27">
        <v>14</v>
      </c>
      <c r="AV115" s="27">
        <v>0</v>
      </c>
      <c r="AW115" s="27">
        <v>0</v>
      </c>
      <c r="AX115" s="27">
        <v>0</v>
      </c>
      <c r="AY115" s="27">
        <v>0</v>
      </c>
      <c r="AZ115" s="27">
        <v>341</v>
      </c>
      <c r="BA115" s="27">
        <v>40</v>
      </c>
      <c r="BB115" s="27">
        <v>0</v>
      </c>
      <c r="BC115" s="27">
        <v>460</v>
      </c>
      <c r="BD115" s="27">
        <v>381</v>
      </c>
      <c r="BE115" s="27">
        <v>460</v>
      </c>
      <c r="BF115" s="27">
        <v>70</v>
      </c>
      <c r="BG115" s="27">
        <v>9</v>
      </c>
      <c r="BH115" s="27">
        <v>0</v>
      </c>
      <c r="BI115" s="27">
        <v>6</v>
      </c>
      <c r="BJ115" s="27">
        <v>64</v>
      </c>
      <c r="BK115" s="29">
        <v>2</v>
      </c>
      <c r="BL115" s="29">
        <v>66</v>
      </c>
      <c r="BM115" s="29">
        <v>8</v>
      </c>
      <c r="BN115" s="30">
        <v>6.1740692357935945E-2</v>
      </c>
      <c r="BO115" s="31">
        <v>26</v>
      </c>
      <c r="BP115" s="31">
        <v>24</v>
      </c>
      <c r="BQ115" s="31">
        <v>24</v>
      </c>
      <c r="BR115" s="31">
        <v>27</v>
      </c>
      <c r="BS115" s="32">
        <v>0</v>
      </c>
      <c r="BT115" s="32">
        <v>0</v>
      </c>
      <c r="BU115" s="33">
        <v>0</v>
      </c>
      <c r="BV115" s="33">
        <v>7.6</v>
      </c>
      <c r="BW115" s="33">
        <v>69.166666000000006</v>
      </c>
      <c r="BX115" s="33">
        <v>76.766666666666666</v>
      </c>
      <c r="BY115" s="33">
        <v>76.061111111111117</v>
      </c>
      <c r="BZ115" s="33">
        <v>65.338888888888889</v>
      </c>
      <c r="CA115" s="33">
        <v>59.81666666666667</v>
      </c>
      <c r="CB115" s="33">
        <v>43.25</v>
      </c>
      <c r="CC115" s="33">
        <v>52.31666666666667</v>
      </c>
      <c r="CD115" s="33">
        <v>34.516666666666666</v>
      </c>
      <c r="CE115" s="33">
        <v>25.166666666666668</v>
      </c>
      <c r="CF115" s="33">
        <v>13.05</v>
      </c>
      <c r="CG115" s="33">
        <v>0</v>
      </c>
      <c r="CH115" s="33">
        <v>0</v>
      </c>
      <c r="CI115" s="33">
        <v>0</v>
      </c>
      <c r="CJ115" s="33">
        <v>0</v>
      </c>
      <c r="CK115" s="33">
        <v>331.3</v>
      </c>
      <c r="CL115" s="33">
        <v>38.216666666666669</v>
      </c>
      <c r="CM115" s="33">
        <v>0</v>
      </c>
      <c r="CN115" s="33">
        <v>446.28333333333336</v>
      </c>
      <c r="CO115" s="33">
        <v>369.51666666666671</v>
      </c>
      <c r="CP115" s="33">
        <v>446.28333333333336</v>
      </c>
      <c r="CQ115" s="33">
        <v>66.605555555555597</v>
      </c>
      <c r="CR115" s="33">
        <v>4.8222222222222202</v>
      </c>
      <c r="CS115" s="33">
        <v>71.42777777777782</v>
      </c>
      <c r="CT115" s="33">
        <v>0</v>
      </c>
      <c r="CU115" s="33">
        <v>79</v>
      </c>
      <c r="CV115" s="32">
        <v>8</v>
      </c>
      <c r="CW115" s="32">
        <v>87</v>
      </c>
      <c r="CX115" s="32">
        <v>58</v>
      </c>
      <c r="CY115" s="32">
        <v>80</v>
      </c>
      <c r="CZ115" s="32">
        <v>59</v>
      </c>
      <c r="DA115" s="32">
        <v>63</v>
      </c>
      <c r="DB115" s="32">
        <v>46</v>
      </c>
      <c r="DC115" s="32">
        <v>52</v>
      </c>
      <c r="DD115" s="32">
        <v>25</v>
      </c>
      <c r="DE115" s="32">
        <v>19</v>
      </c>
      <c r="DF115" s="32">
        <v>0</v>
      </c>
      <c r="DG115" s="32">
        <v>0</v>
      </c>
      <c r="DH115" s="32">
        <v>0</v>
      </c>
      <c r="DI115" s="32">
        <v>0</v>
      </c>
      <c r="DJ115" s="32">
        <v>358</v>
      </c>
      <c r="DK115" s="32">
        <v>44</v>
      </c>
      <c r="DL115" s="32">
        <v>0</v>
      </c>
      <c r="DM115" s="32">
        <v>489</v>
      </c>
      <c r="DN115" s="32">
        <v>402</v>
      </c>
      <c r="DO115" s="32">
        <v>489</v>
      </c>
      <c r="DP115" s="32">
        <v>0</v>
      </c>
      <c r="DQ115" s="32">
        <v>6</v>
      </c>
      <c r="DR115" s="32">
        <v>77</v>
      </c>
      <c r="DS115" s="32">
        <v>5</v>
      </c>
      <c r="DT115" s="32">
        <v>82</v>
      </c>
      <c r="DU115" s="32">
        <v>11</v>
      </c>
      <c r="DV115" s="33">
        <v>28</v>
      </c>
      <c r="DW115" s="33">
        <v>26</v>
      </c>
      <c r="DX115" s="33">
        <v>19</v>
      </c>
      <c r="DY115" s="33">
        <v>3.5</v>
      </c>
      <c r="DZ115" s="33">
        <v>0</v>
      </c>
      <c r="EA115" s="33">
        <v>30.332999999999998</v>
      </c>
      <c r="EB115" s="34">
        <v>5.0807212142985447E-2</v>
      </c>
      <c r="EC115" s="32"/>
      <c r="ED115" s="32">
        <v>81</v>
      </c>
      <c r="EE115" s="32">
        <v>405</v>
      </c>
      <c r="EF115" s="32">
        <v>349</v>
      </c>
      <c r="EG115" s="32">
        <v>56</v>
      </c>
      <c r="EH115" s="32">
        <v>0</v>
      </c>
      <c r="EI115" s="32">
        <v>486</v>
      </c>
      <c r="EJ115" s="32">
        <v>0</v>
      </c>
      <c r="EK115" s="32">
        <v>82</v>
      </c>
      <c r="EL115" s="32">
        <v>82</v>
      </c>
      <c r="EM115" s="32">
        <v>77</v>
      </c>
      <c r="EN115" s="32">
        <v>5</v>
      </c>
      <c r="EO115" s="32">
        <v>63</v>
      </c>
      <c r="EP115" s="33">
        <v>20.14</v>
      </c>
      <c r="EQ115" s="33">
        <v>1.06</v>
      </c>
      <c r="ER115" s="33">
        <v>0</v>
      </c>
      <c r="ES115" s="33">
        <v>0</v>
      </c>
      <c r="ET115" s="33">
        <v>1</v>
      </c>
      <c r="EU115" s="33">
        <v>22.2</v>
      </c>
    </row>
    <row r="116" spans="1:151" ht="41.4" x14ac:dyDescent="0.3">
      <c r="A116" s="25" t="s">
        <v>116</v>
      </c>
      <c r="B116" s="26" t="s">
        <v>351</v>
      </c>
      <c r="C116" s="27" t="s">
        <v>715</v>
      </c>
      <c r="D116" s="27" t="s">
        <v>272</v>
      </c>
      <c r="E116" s="26" t="s">
        <v>504</v>
      </c>
      <c r="F116" s="26" t="s">
        <v>504</v>
      </c>
      <c r="G116" s="28">
        <v>47.37777777777778</v>
      </c>
      <c r="H116" s="28">
        <v>1.9666666666666666</v>
      </c>
      <c r="I116" s="29">
        <v>72</v>
      </c>
      <c r="J116" s="29">
        <v>465</v>
      </c>
      <c r="K116" s="29">
        <v>0</v>
      </c>
      <c r="L116" s="29">
        <v>0</v>
      </c>
      <c r="M116" s="29">
        <v>537</v>
      </c>
      <c r="N116" s="29">
        <v>465</v>
      </c>
      <c r="O116" s="29">
        <v>537</v>
      </c>
      <c r="P116" s="29">
        <v>4</v>
      </c>
      <c r="Q116" s="27">
        <v>72.172222222222217</v>
      </c>
      <c r="R116" s="27">
        <v>82.00555555555556</v>
      </c>
      <c r="S116" s="27">
        <v>77.944444444444443</v>
      </c>
      <c r="T116" s="27">
        <v>83.055555555555557</v>
      </c>
      <c r="U116" s="27">
        <v>74.327777777777783</v>
      </c>
      <c r="V116" s="27">
        <v>72.272222222222226</v>
      </c>
      <c r="W116" s="27">
        <v>64.905555555555551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7">
        <v>0</v>
      </c>
      <c r="AD116" s="27">
        <v>454.51111111111112</v>
      </c>
      <c r="AE116" s="27">
        <v>0</v>
      </c>
      <c r="AF116" s="27">
        <v>0</v>
      </c>
      <c r="AG116" s="27">
        <v>526.68333333333328</v>
      </c>
      <c r="AH116" s="27">
        <v>454.51111111111112</v>
      </c>
      <c r="AI116" s="27">
        <v>526.68333333333328</v>
      </c>
      <c r="AJ116" s="28">
        <v>56.833333333333336</v>
      </c>
      <c r="AK116" s="28">
        <v>4.1333333333333337</v>
      </c>
      <c r="AL116" s="28">
        <v>60.966666666666669</v>
      </c>
      <c r="AM116" s="29">
        <v>75</v>
      </c>
      <c r="AN116" s="35">
        <v>77</v>
      </c>
      <c r="AO116" s="27">
        <v>76</v>
      </c>
      <c r="AP116" s="27">
        <v>77</v>
      </c>
      <c r="AQ116" s="27">
        <v>80</v>
      </c>
      <c r="AR116" s="27">
        <v>74</v>
      </c>
      <c r="AS116" s="27">
        <v>75</v>
      </c>
      <c r="AT116" s="27">
        <v>0</v>
      </c>
      <c r="AU116" s="27">
        <v>0</v>
      </c>
      <c r="AV116" s="27">
        <v>0</v>
      </c>
      <c r="AW116" s="27">
        <v>0</v>
      </c>
      <c r="AX116" s="27">
        <v>0</v>
      </c>
      <c r="AY116" s="27">
        <v>0</v>
      </c>
      <c r="AZ116" s="27">
        <v>459</v>
      </c>
      <c r="BA116" s="27">
        <v>0</v>
      </c>
      <c r="BB116" s="27">
        <v>0</v>
      </c>
      <c r="BC116" s="27">
        <v>534</v>
      </c>
      <c r="BD116" s="27">
        <v>459</v>
      </c>
      <c r="BE116" s="27">
        <v>534</v>
      </c>
      <c r="BF116" s="27">
        <v>70</v>
      </c>
      <c r="BG116" s="27">
        <v>5</v>
      </c>
      <c r="BH116" s="27">
        <v>0</v>
      </c>
      <c r="BI116" s="27">
        <v>224</v>
      </c>
      <c r="BJ116" s="27">
        <v>61</v>
      </c>
      <c r="BK116" s="29">
        <v>6</v>
      </c>
      <c r="BL116" s="29">
        <v>67</v>
      </c>
      <c r="BM116" s="29">
        <v>74</v>
      </c>
      <c r="BN116" s="30">
        <v>7.1787987271280884E-2</v>
      </c>
      <c r="BO116" s="31">
        <v>27.169999999999998</v>
      </c>
      <c r="BP116" s="31">
        <v>25.169999999999998</v>
      </c>
      <c r="BQ116" s="31">
        <v>25.169999999999998</v>
      </c>
      <c r="BR116" s="31">
        <v>27.169999999999998</v>
      </c>
      <c r="BS116" s="32">
        <v>0</v>
      </c>
      <c r="BT116" s="32">
        <v>0</v>
      </c>
      <c r="BU116" s="33">
        <v>0</v>
      </c>
      <c r="BV116" s="33">
        <v>2.716666</v>
      </c>
      <c r="BW116" s="33">
        <v>68.838887999999997</v>
      </c>
      <c r="BX116" s="33">
        <v>71.555555555555557</v>
      </c>
      <c r="BY116" s="33">
        <v>76.105555555555554</v>
      </c>
      <c r="BZ116" s="33">
        <v>74.683333333333337</v>
      </c>
      <c r="CA116" s="33">
        <v>75.083333333333329</v>
      </c>
      <c r="CB116" s="33">
        <v>77.655555555555551</v>
      </c>
      <c r="CC116" s="33">
        <v>72.661111111111111</v>
      </c>
      <c r="CD116" s="33">
        <v>74.63333333333334</v>
      </c>
      <c r="CE116" s="33">
        <v>0</v>
      </c>
      <c r="CF116" s="33">
        <v>0</v>
      </c>
      <c r="CG116" s="33">
        <v>0</v>
      </c>
      <c r="CH116" s="33">
        <v>0</v>
      </c>
      <c r="CI116" s="33">
        <v>0</v>
      </c>
      <c r="CJ116" s="33">
        <v>0</v>
      </c>
      <c r="CK116" s="33">
        <v>450.82222222222219</v>
      </c>
      <c r="CL116" s="33">
        <v>0</v>
      </c>
      <c r="CM116" s="33">
        <v>0</v>
      </c>
      <c r="CN116" s="33">
        <v>522.37777777777774</v>
      </c>
      <c r="CO116" s="33">
        <v>450.82222222222219</v>
      </c>
      <c r="CP116" s="33">
        <v>522.37777777777774</v>
      </c>
      <c r="CQ116" s="33">
        <v>70.977777777777803</v>
      </c>
      <c r="CR116" s="33">
        <v>6.5333333333333297</v>
      </c>
      <c r="CS116" s="33">
        <v>77.511111111111134</v>
      </c>
      <c r="CT116" s="33">
        <v>0</v>
      </c>
      <c r="CU116" s="33">
        <v>66</v>
      </c>
      <c r="CV116" s="32">
        <v>7</v>
      </c>
      <c r="CW116" s="32">
        <v>73</v>
      </c>
      <c r="CX116" s="32">
        <v>74</v>
      </c>
      <c r="CY116" s="32">
        <v>77</v>
      </c>
      <c r="CZ116" s="32">
        <v>74</v>
      </c>
      <c r="DA116" s="32">
        <v>73</v>
      </c>
      <c r="DB116" s="32">
        <v>75</v>
      </c>
      <c r="DC116" s="32">
        <v>74</v>
      </c>
      <c r="DD116" s="32">
        <v>0</v>
      </c>
      <c r="DE116" s="32">
        <v>0</v>
      </c>
      <c r="DF116" s="32">
        <v>0</v>
      </c>
      <c r="DG116" s="32">
        <v>0</v>
      </c>
      <c r="DH116" s="32">
        <v>0</v>
      </c>
      <c r="DI116" s="32">
        <v>0</v>
      </c>
      <c r="DJ116" s="32">
        <v>447</v>
      </c>
      <c r="DK116" s="32">
        <v>0</v>
      </c>
      <c r="DL116" s="32">
        <v>0</v>
      </c>
      <c r="DM116" s="32">
        <v>520</v>
      </c>
      <c r="DN116" s="32">
        <v>447</v>
      </c>
      <c r="DO116" s="32">
        <v>520</v>
      </c>
      <c r="DP116" s="32">
        <v>0</v>
      </c>
      <c r="DQ116" s="32">
        <v>196</v>
      </c>
      <c r="DR116" s="32">
        <v>76</v>
      </c>
      <c r="DS116" s="32">
        <v>10</v>
      </c>
      <c r="DT116" s="32">
        <v>86</v>
      </c>
      <c r="DU116" s="32">
        <v>66</v>
      </c>
      <c r="DV116" s="33">
        <v>28.293000000000003</v>
      </c>
      <c r="DW116" s="33">
        <v>26.293000000000003</v>
      </c>
      <c r="DX116" s="33">
        <v>23.643000000000001</v>
      </c>
      <c r="DY116" s="33">
        <v>0</v>
      </c>
      <c r="DZ116" s="33">
        <v>0</v>
      </c>
      <c r="EA116" s="33">
        <v>29.933000000000003</v>
      </c>
      <c r="EB116" s="34">
        <v>7.6012349224583609E-2</v>
      </c>
      <c r="EC116" s="32"/>
      <c r="ED116" s="32">
        <v>74</v>
      </c>
      <c r="EE116" s="32">
        <v>444</v>
      </c>
      <c r="EF116" s="32">
        <v>444</v>
      </c>
      <c r="EG116" s="32">
        <v>0</v>
      </c>
      <c r="EH116" s="32">
        <v>0</v>
      </c>
      <c r="EI116" s="32">
        <v>518</v>
      </c>
      <c r="EJ116" s="32">
        <v>0</v>
      </c>
      <c r="EK116" s="32">
        <v>86</v>
      </c>
      <c r="EL116" s="32">
        <v>86</v>
      </c>
      <c r="EM116" s="32">
        <v>76</v>
      </c>
      <c r="EN116" s="32">
        <v>10</v>
      </c>
      <c r="EO116" s="32">
        <v>49</v>
      </c>
      <c r="EP116" s="33">
        <v>28.001000000000001</v>
      </c>
      <c r="EQ116" s="33">
        <v>0.7</v>
      </c>
      <c r="ER116" s="33">
        <v>2.625</v>
      </c>
      <c r="ES116" s="33">
        <v>0.5</v>
      </c>
      <c r="ET116" s="33">
        <v>5.2629999999999999</v>
      </c>
      <c r="EU116" s="33">
        <v>37.088999999999999</v>
      </c>
    </row>
    <row r="117" spans="1:151" ht="27.6" x14ac:dyDescent="0.3">
      <c r="A117" s="25" t="s">
        <v>149</v>
      </c>
      <c r="B117" s="26" t="s">
        <v>379</v>
      </c>
      <c r="C117" s="27" t="s">
        <v>716</v>
      </c>
      <c r="D117" s="27" t="s">
        <v>272</v>
      </c>
      <c r="E117" s="26" t="s">
        <v>504</v>
      </c>
      <c r="F117" s="26" t="s">
        <v>504</v>
      </c>
      <c r="G117" s="28">
        <v>118.37777777777778</v>
      </c>
      <c r="H117" s="28">
        <v>4.4111111111111114</v>
      </c>
      <c r="I117" s="29">
        <v>99</v>
      </c>
      <c r="J117" s="29">
        <v>604</v>
      </c>
      <c r="K117" s="29">
        <v>182</v>
      </c>
      <c r="L117" s="29">
        <v>87</v>
      </c>
      <c r="M117" s="29">
        <v>972</v>
      </c>
      <c r="N117" s="29">
        <v>873</v>
      </c>
      <c r="O117" s="29">
        <v>885</v>
      </c>
      <c r="P117" s="29">
        <v>10</v>
      </c>
      <c r="Q117" s="27">
        <v>95.183333333333337</v>
      </c>
      <c r="R117" s="27">
        <v>89.24444444444444</v>
      </c>
      <c r="S117" s="27">
        <v>104.02222222222223</v>
      </c>
      <c r="T117" s="27">
        <v>100.03333333333333</v>
      </c>
      <c r="U117" s="27">
        <v>95.25</v>
      </c>
      <c r="V117" s="27">
        <v>101.4</v>
      </c>
      <c r="W117" s="27">
        <v>100.05555555555556</v>
      </c>
      <c r="X117" s="27">
        <v>98.8</v>
      </c>
      <c r="Y117" s="27">
        <v>78.849999999999994</v>
      </c>
      <c r="Z117" s="27">
        <v>84.277777777777771</v>
      </c>
      <c r="AA117" s="27">
        <v>0</v>
      </c>
      <c r="AB117" s="27">
        <v>0</v>
      </c>
      <c r="AC117" s="27">
        <v>0</v>
      </c>
      <c r="AD117" s="27">
        <v>590.00555555555547</v>
      </c>
      <c r="AE117" s="27">
        <v>177.64999999999998</v>
      </c>
      <c r="AF117" s="27">
        <v>84.277777777777771</v>
      </c>
      <c r="AG117" s="27">
        <v>862.83888888888885</v>
      </c>
      <c r="AH117" s="27">
        <v>851.93333333333317</v>
      </c>
      <c r="AI117" s="27">
        <v>947.11666666666656</v>
      </c>
      <c r="AJ117" s="28">
        <v>128.47222222222223</v>
      </c>
      <c r="AK117" s="28">
        <v>9.1333333333333329</v>
      </c>
      <c r="AL117" s="28">
        <v>137.60555555555555</v>
      </c>
      <c r="AM117" s="29">
        <v>101</v>
      </c>
      <c r="AN117" s="35">
        <v>101</v>
      </c>
      <c r="AO117" s="27">
        <v>99</v>
      </c>
      <c r="AP117" s="27">
        <v>102</v>
      </c>
      <c r="AQ117" s="27">
        <v>105</v>
      </c>
      <c r="AR117" s="27">
        <v>107</v>
      </c>
      <c r="AS117" s="27">
        <v>108</v>
      </c>
      <c r="AT117" s="27">
        <v>106</v>
      </c>
      <c r="AU117" s="27">
        <v>94</v>
      </c>
      <c r="AV117" s="27">
        <v>78</v>
      </c>
      <c r="AW117" s="27">
        <v>0</v>
      </c>
      <c r="AX117" s="27">
        <v>0</v>
      </c>
      <c r="AY117" s="27">
        <v>0</v>
      </c>
      <c r="AZ117" s="27">
        <v>622</v>
      </c>
      <c r="BA117" s="27">
        <v>200</v>
      </c>
      <c r="BB117" s="27">
        <v>78</v>
      </c>
      <c r="BC117" s="27">
        <v>923</v>
      </c>
      <c r="BD117" s="27">
        <v>900</v>
      </c>
      <c r="BE117" s="27">
        <v>1001</v>
      </c>
      <c r="BF117" s="27">
        <v>87</v>
      </c>
      <c r="BG117" s="27">
        <v>14</v>
      </c>
      <c r="BH117" s="27">
        <v>0</v>
      </c>
      <c r="BI117" s="27">
        <v>162</v>
      </c>
      <c r="BJ117" s="27">
        <v>138</v>
      </c>
      <c r="BK117" s="29">
        <v>8</v>
      </c>
      <c r="BL117" s="29">
        <v>146</v>
      </c>
      <c r="BM117" s="29">
        <v>57</v>
      </c>
      <c r="BN117" s="30">
        <v>6.4780550774526713E-2</v>
      </c>
      <c r="BO117" s="31">
        <v>58.505000000000003</v>
      </c>
      <c r="BP117" s="31">
        <v>55.505000000000003</v>
      </c>
      <c r="BQ117" s="31">
        <v>51.88</v>
      </c>
      <c r="BR117" s="31">
        <v>54.88</v>
      </c>
      <c r="BS117" s="32">
        <v>0</v>
      </c>
      <c r="BT117" s="32">
        <v>0</v>
      </c>
      <c r="BU117" s="33">
        <v>0</v>
      </c>
      <c r="BV117" s="33">
        <v>13.05</v>
      </c>
      <c r="BW117" s="33">
        <v>86.238888000000003</v>
      </c>
      <c r="BX117" s="33">
        <v>99.288888888888891</v>
      </c>
      <c r="BY117" s="33">
        <v>101.41666666666667</v>
      </c>
      <c r="BZ117" s="33">
        <v>96.444444444444443</v>
      </c>
      <c r="CA117" s="33">
        <v>100.70555555555555</v>
      </c>
      <c r="CB117" s="33">
        <v>103.53333333333333</v>
      </c>
      <c r="CC117" s="33">
        <v>102.91666666666667</v>
      </c>
      <c r="CD117" s="33">
        <v>104.73888888888889</v>
      </c>
      <c r="CE117" s="33">
        <v>104.74444444444444</v>
      </c>
      <c r="CF117" s="33">
        <v>93.477777777777774</v>
      </c>
      <c r="CG117" s="33">
        <v>77.111111111111114</v>
      </c>
      <c r="CH117" s="33">
        <v>0</v>
      </c>
      <c r="CI117" s="33">
        <v>0</v>
      </c>
      <c r="CJ117" s="33">
        <v>0</v>
      </c>
      <c r="CK117" s="33">
        <v>609.75555555555559</v>
      </c>
      <c r="CL117" s="33">
        <v>198.22222222222223</v>
      </c>
      <c r="CM117" s="33">
        <v>77.111111111111114</v>
      </c>
      <c r="CN117" s="33">
        <v>907.26666666666665</v>
      </c>
      <c r="CO117" s="33">
        <v>885.08888888888885</v>
      </c>
      <c r="CP117" s="33">
        <v>984.37777777777774</v>
      </c>
      <c r="CQ117" s="33">
        <v>135.12222222222201</v>
      </c>
      <c r="CR117" s="33">
        <v>7.3333333333333304</v>
      </c>
      <c r="CS117" s="33">
        <v>142.45555555555535</v>
      </c>
      <c r="CT117" s="33">
        <v>0</v>
      </c>
      <c r="CU117" s="33">
        <v>95</v>
      </c>
      <c r="CV117" s="32">
        <v>9</v>
      </c>
      <c r="CW117" s="32">
        <v>104</v>
      </c>
      <c r="CX117" s="32">
        <v>100</v>
      </c>
      <c r="CY117" s="32">
        <v>106</v>
      </c>
      <c r="CZ117" s="32">
        <v>108</v>
      </c>
      <c r="DA117" s="32">
        <v>105</v>
      </c>
      <c r="DB117" s="32">
        <v>104</v>
      </c>
      <c r="DC117" s="32">
        <v>104</v>
      </c>
      <c r="DD117" s="32">
        <v>104</v>
      </c>
      <c r="DE117" s="32">
        <v>104</v>
      </c>
      <c r="DF117" s="32">
        <v>84</v>
      </c>
      <c r="DG117" s="32">
        <v>0</v>
      </c>
      <c r="DH117" s="32">
        <v>0</v>
      </c>
      <c r="DI117" s="32">
        <v>0</v>
      </c>
      <c r="DJ117" s="32">
        <v>627</v>
      </c>
      <c r="DK117" s="32">
        <v>208</v>
      </c>
      <c r="DL117" s="32">
        <v>84</v>
      </c>
      <c r="DM117" s="32">
        <v>939</v>
      </c>
      <c r="DN117" s="32">
        <v>919</v>
      </c>
      <c r="DO117" s="32">
        <v>1023</v>
      </c>
      <c r="DP117" s="32">
        <v>0</v>
      </c>
      <c r="DQ117" s="32">
        <v>151</v>
      </c>
      <c r="DR117" s="32">
        <v>148</v>
      </c>
      <c r="DS117" s="32">
        <v>5</v>
      </c>
      <c r="DT117" s="32">
        <v>153</v>
      </c>
      <c r="DU117" s="32">
        <v>77</v>
      </c>
      <c r="DV117" s="33">
        <v>61.949999999999996</v>
      </c>
      <c r="DW117" s="33">
        <v>58.949999999999996</v>
      </c>
      <c r="DX117" s="33">
        <v>31.61</v>
      </c>
      <c r="DY117" s="33">
        <v>20.305</v>
      </c>
      <c r="DZ117" s="33">
        <v>0</v>
      </c>
      <c r="EA117" s="33">
        <v>63.050000000000004</v>
      </c>
      <c r="EB117" s="34">
        <v>6.5614105943372192E-2</v>
      </c>
      <c r="EC117" s="32"/>
      <c r="ED117" s="32">
        <v>106</v>
      </c>
      <c r="EE117" s="32">
        <v>906</v>
      </c>
      <c r="EF117" s="32">
        <v>630</v>
      </c>
      <c r="EG117" s="32">
        <v>189</v>
      </c>
      <c r="EH117" s="32">
        <v>87</v>
      </c>
      <c r="EI117" s="32">
        <v>1012</v>
      </c>
      <c r="EJ117" s="32">
        <v>0</v>
      </c>
      <c r="EK117" s="32">
        <v>150</v>
      </c>
      <c r="EL117" s="32">
        <v>150</v>
      </c>
      <c r="EM117" s="32">
        <v>146</v>
      </c>
      <c r="EN117" s="32">
        <v>4</v>
      </c>
      <c r="EO117" s="32">
        <v>5</v>
      </c>
      <c r="EP117" s="33">
        <v>29.23</v>
      </c>
      <c r="EQ117" s="33">
        <v>1</v>
      </c>
      <c r="ER117" s="33">
        <v>4.45</v>
      </c>
      <c r="ES117" s="33">
        <v>0</v>
      </c>
      <c r="ET117" s="33">
        <v>1</v>
      </c>
      <c r="EU117" s="33">
        <v>35.68</v>
      </c>
    </row>
    <row r="118" spans="1:151" ht="41.4" x14ac:dyDescent="0.3">
      <c r="A118" s="25" t="s">
        <v>167</v>
      </c>
      <c r="B118" s="26" t="s">
        <v>391</v>
      </c>
      <c r="C118" s="27" t="s">
        <v>717</v>
      </c>
      <c r="D118" s="27" t="s">
        <v>272</v>
      </c>
      <c r="E118" s="26" t="s">
        <v>504</v>
      </c>
      <c r="F118" s="26" t="s">
        <v>504</v>
      </c>
      <c r="G118" s="28">
        <v>39.777777777777779</v>
      </c>
      <c r="H118" s="28">
        <v>5</v>
      </c>
      <c r="I118" s="29">
        <v>63</v>
      </c>
      <c r="J118" s="29">
        <v>380</v>
      </c>
      <c r="K118" s="29">
        <v>92</v>
      </c>
      <c r="L118" s="29">
        <v>0</v>
      </c>
      <c r="M118" s="29">
        <v>535</v>
      </c>
      <c r="N118" s="29">
        <v>472</v>
      </c>
      <c r="O118" s="29">
        <v>535</v>
      </c>
      <c r="P118" s="29">
        <v>6</v>
      </c>
      <c r="Q118" s="27">
        <v>62.333333333333336</v>
      </c>
      <c r="R118" s="27">
        <v>52.077777777777776</v>
      </c>
      <c r="S118" s="27">
        <v>67.205555555555549</v>
      </c>
      <c r="T118" s="27">
        <v>48.844444444444441</v>
      </c>
      <c r="U118" s="27">
        <v>71.677777777777777</v>
      </c>
      <c r="V118" s="27">
        <v>70.00555555555556</v>
      </c>
      <c r="W118" s="27">
        <v>56</v>
      </c>
      <c r="X118" s="27">
        <v>40.833333333333336</v>
      </c>
      <c r="Y118" s="27">
        <v>45.611111111111114</v>
      </c>
      <c r="Z118" s="27">
        <v>0</v>
      </c>
      <c r="AA118" s="27">
        <v>0</v>
      </c>
      <c r="AB118" s="27">
        <v>0</v>
      </c>
      <c r="AC118" s="27">
        <v>0</v>
      </c>
      <c r="AD118" s="27">
        <v>365.81111111111113</v>
      </c>
      <c r="AE118" s="27">
        <v>86.444444444444457</v>
      </c>
      <c r="AF118" s="27">
        <v>0</v>
      </c>
      <c r="AG118" s="27">
        <v>514.58888888888896</v>
      </c>
      <c r="AH118" s="27">
        <v>452.25555555555559</v>
      </c>
      <c r="AI118" s="27">
        <v>514.58888888888896</v>
      </c>
      <c r="AJ118" s="28">
        <v>40.661111111111111</v>
      </c>
      <c r="AK118" s="28">
        <v>5.7277777777777779</v>
      </c>
      <c r="AL118" s="28">
        <v>46.388888888888886</v>
      </c>
      <c r="AM118" s="29">
        <v>46</v>
      </c>
      <c r="AN118" s="35">
        <v>59</v>
      </c>
      <c r="AO118" s="27">
        <v>43</v>
      </c>
      <c r="AP118" s="27">
        <v>71</v>
      </c>
      <c r="AQ118" s="27">
        <v>56</v>
      </c>
      <c r="AR118" s="27">
        <v>68</v>
      </c>
      <c r="AS118" s="27">
        <v>48</v>
      </c>
      <c r="AT118" s="27">
        <v>51</v>
      </c>
      <c r="AU118" s="27">
        <v>35</v>
      </c>
      <c r="AV118" s="27">
        <v>0</v>
      </c>
      <c r="AW118" s="27">
        <v>0</v>
      </c>
      <c r="AX118" s="27">
        <v>0</v>
      </c>
      <c r="AY118" s="27">
        <v>0</v>
      </c>
      <c r="AZ118" s="27">
        <v>345</v>
      </c>
      <c r="BA118" s="27">
        <v>86</v>
      </c>
      <c r="BB118" s="27">
        <v>0</v>
      </c>
      <c r="BC118" s="27">
        <v>477</v>
      </c>
      <c r="BD118" s="27">
        <v>431</v>
      </c>
      <c r="BE118" s="27">
        <v>477</v>
      </c>
      <c r="BF118" s="27">
        <v>46</v>
      </c>
      <c r="BG118" s="27">
        <v>0</v>
      </c>
      <c r="BH118" s="27">
        <v>0</v>
      </c>
      <c r="BI118" s="27">
        <v>19</v>
      </c>
      <c r="BJ118" s="27">
        <v>45</v>
      </c>
      <c r="BK118" s="29">
        <v>5</v>
      </c>
      <c r="BL118" s="29">
        <v>50</v>
      </c>
      <c r="BM118" s="29">
        <v>14</v>
      </c>
      <c r="BN118" s="30">
        <v>7.9473304473304585E-2</v>
      </c>
      <c r="BO118" s="31">
        <v>37.550000000000004</v>
      </c>
      <c r="BP118" s="31">
        <v>36.550000000000004</v>
      </c>
      <c r="BQ118" s="31">
        <v>35.767500000000005</v>
      </c>
      <c r="BR118" s="31">
        <v>38.917500000000004</v>
      </c>
      <c r="BS118" s="32">
        <v>0</v>
      </c>
      <c r="BT118" s="32">
        <v>0</v>
      </c>
      <c r="BU118" s="33">
        <v>0</v>
      </c>
      <c r="BV118" s="33">
        <v>0</v>
      </c>
      <c r="BW118" s="33">
        <v>44.233333000000002</v>
      </c>
      <c r="BX118" s="33">
        <v>44.233333333333334</v>
      </c>
      <c r="BY118" s="33">
        <v>57.06666666666667</v>
      </c>
      <c r="BZ118" s="33">
        <v>43.06111111111111</v>
      </c>
      <c r="CA118" s="33">
        <v>68.477777777777774</v>
      </c>
      <c r="CB118" s="33">
        <v>53.85</v>
      </c>
      <c r="CC118" s="33">
        <v>66.422222222222217</v>
      </c>
      <c r="CD118" s="33">
        <v>47.85</v>
      </c>
      <c r="CE118" s="33">
        <v>48.172222222222224</v>
      </c>
      <c r="CF118" s="33">
        <v>32.994444444444447</v>
      </c>
      <c r="CG118" s="33">
        <v>0</v>
      </c>
      <c r="CH118" s="33">
        <v>0</v>
      </c>
      <c r="CI118" s="33">
        <v>0</v>
      </c>
      <c r="CJ118" s="33">
        <v>0</v>
      </c>
      <c r="CK118" s="33">
        <v>336.72777777777776</v>
      </c>
      <c r="CL118" s="33">
        <v>81.166666666666671</v>
      </c>
      <c r="CM118" s="33">
        <v>0</v>
      </c>
      <c r="CN118" s="33">
        <v>462.12777777777785</v>
      </c>
      <c r="CO118" s="33">
        <v>417.89444444444445</v>
      </c>
      <c r="CP118" s="33">
        <v>462.12777777777785</v>
      </c>
      <c r="CQ118" s="33">
        <v>47.8</v>
      </c>
      <c r="CR118" s="33">
        <v>5.74444444444444</v>
      </c>
      <c r="CS118" s="33">
        <v>53.544444444444437</v>
      </c>
      <c r="CT118" s="33">
        <v>0</v>
      </c>
      <c r="CU118" s="33">
        <v>37</v>
      </c>
      <c r="CV118" s="32">
        <v>0</v>
      </c>
      <c r="CW118" s="32">
        <v>37</v>
      </c>
      <c r="CX118" s="32">
        <v>43</v>
      </c>
      <c r="CY118" s="32">
        <v>59</v>
      </c>
      <c r="CZ118" s="32">
        <v>41</v>
      </c>
      <c r="DA118" s="32">
        <v>69</v>
      </c>
      <c r="DB118" s="32">
        <v>47</v>
      </c>
      <c r="DC118" s="32">
        <v>55</v>
      </c>
      <c r="DD118" s="32">
        <v>41</v>
      </c>
      <c r="DE118" s="32">
        <v>30</v>
      </c>
      <c r="DF118" s="32">
        <v>0</v>
      </c>
      <c r="DG118" s="32">
        <v>0</v>
      </c>
      <c r="DH118" s="32">
        <v>0</v>
      </c>
      <c r="DI118" s="32">
        <v>0</v>
      </c>
      <c r="DJ118" s="32">
        <v>314</v>
      </c>
      <c r="DK118" s="32">
        <v>71</v>
      </c>
      <c r="DL118" s="32">
        <v>0</v>
      </c>
      <c r="DM118" s="32">
        <v>422</v>
      </c>
      <c r="DN118" s="32">
        <v>385</v>
      </c>
      <c r="DO118" s="32">
        <v>422</v>
      </c>
      <c r="DP118" s="32">
        <v>0</v>
      </c>
      <c r="DQ118" s="32">
        <v>6</v>
      </c>
      <c r="DR118" s="32">
        <v>47</v>
      </c>
      <c r="DS118" s="32">
        <v>2</v>
      </c>
      <c r="DT118" s="32">
        <v>49</v>
      </c>
      <c r="DU118" s="32">
        <v>10</v>
      </c>
      <c r="DV118" s="33">
        <v>28.917999999999999</v>
      </c>
      <c r="DW118" s="33">
        <v>28.417999999999999</v>
      </c>
      <c r="DX118" s="33">
        <v>19</v>
      </c>
      <c r="DY118" s="33">
        <v>8.1679999999999993</v>
      </c>
      <c r="DZ118" s="33">
        <v>0</v>
      </c>
      <c r="EA118" s="33">
        <v>32.518000000000001</v>
      </c>
      <c r="EB118" s="34">
        <v>9.2889357342022971E-2</v>
      </c>
      <c r="EC118" s="32"/>
      <c r="ED118" s="32">
        <v>41</v>
      </c>
      <c r="EE118" s="32">
        <v>391</v>
      </c>
      <c r="EF118" s="32">
        <v>313</v>
      </c>
      <c r="EG118" s="32">
        <v>78</v>
      </c>
      <c r="EH118" s="32">
        <v>0</v>
      </c>
      <c r="EI118" s="32">
        <v>432</v>
      </c>
      <c r="EJ118" s="32">
        <v>0</v>
      </c>
      <c r="EK118" s="32">
        <v>46</v>
      </c>
      <c r="EL118" s="32">
        <v>46</v>
      </c>
      <c r="EM118" s="32">
        <v>40</v>
      </c>
      <c r="EN118" s="32">
        <v>6</v>
      </c>
      <c r="EO118" s="32">
        <v>1</v>
      </c>
      <c r="EP118" s="33">
        <v>13</v>
      </c>
      <c r="EQ118" s="33">
        <v>1</v>
      </c>
      <c r="ER118" s="33">
        <v>4</v>
      </c>
      <c r="ES118" s="33">
        <v>1.75</v>
      </c>
      <c r="ET118" s="33">
        <v>2.5</v>
      </c>
      <c r="EU118" s="33">
        <v>22.25</v>
      </c>
    </row>
    <row r="119" spans="1:151" ht="55.2" x14ac:dyDescent="0.3">
      <c r="A119" s="25" t="s">
        <v>178</v>
      </c>
      <c r="B119" s="26" t="s">
        <v>402</v>
      </c>
      <c r="C119" s="27" t="s">
        <v>718</v>
      </c>
      <c r="D119" s="27" t="s">
        <v>272</v>
      </c>
      <c r="E119" s="26" t="s">
        <v>504</v>
      </c>
      <c r="F119" s="26" t="s">
        <v>504</v>
      </c>
      <c r="G119" s="28">
        <v>73.544444444444451</v>
      </c>
      <c r="H119" s="28">
        <v>0</v>
      </c>
      <c r="I119" s="29">
        <v>52</v>
      </c>
      <c r="J119" s="29">
        <v>303</v>
      </c>
      <c r="K119" s="29">
        <v>94</v>
      </c>
      <c r="L119" s="29">
        <v>0</v>
      </c>
      <c r="M119" s="29">
        <v>449</v>
      </c>
      <c r="N119" s="29">
        <v>397</v>
      </c>
      <c r="O119" s="29">
        <v>449</v>
      </c>
      <c r="P119" s="29">
        <v>2</v>
      </c>
      <c r="Q119" s="27">
        <v>50.838888888888889</v>
      </c>
      <c r="R119" s="27">
        <v>47.833333333333336</v>
      </c>
      <c r="S119" s="27">
        <v>51.966666666666669</v>
      </c>
      <c r="T119" s="27">
        <v>49.888888888888886</v>
      </c>
      <c r="U119" s="27">
        <v>49.87777777777778</v>
      </c>
      <c r="V119" s="27">
        <v>54</v>
      </c>
      <c r="W119" s="27">
        <v>43.18888888888889</v>
      </c>
      <c r="X119" s="27">
        <v>50.538888888888891</v>
      </c>
      <c r="Y119" s="27">
        <v>39.394444444444446</v>
      </c>
      <c r="Z119" s="27">
        <v>0</v>
      </c>
      <c r="AA119" s="27">
        <v>0</v>
      </c>
      <c r="AB119" s="27">
        <v>0</v>
      </c>
      <c r="AC119" s="27">
        <v>0</v>
      </c>
      <c r="AD119" s="27">
        <v>296.75555555555553</v>
      </c>
      <c r="AE119" s="27">
        <v>89.933333333333337</v>
      </c>
      <c r="AF119" s="27">
        <v>0</v>
      </c>
      <c r="AG119" s="27">
        <v>437.52777777777777</v>
      </c>
      <c r="AH119" s="27">
        <v>386.68888888888887</v>
      </c>
      <c r="AI119" s="27">
        <v>437.52777777777777</v>
      </c>
      <c r="AJ119" s="28">
        <v>80.705555555555549</v>
      </c>
      <c r="AK119" s="28">
        <v>2.6444444444444444</v>
      </c>
      <c r="AL119" s="28">
        <v>83.35</v>
      </c>
      <c r="AM119" s="29">
        <v>52</v>
      </c>
      <c r="AN119" s="35">
        <v>52</v>
      </c>
      <c r="AO119" s="27">
        <v>51</v>
      </c>
      <c r="AP119" s="27">
        <v>52</v>
      </c>
      <c r="AQ119" s="27">
        <v>53</v>
      </c>
      <c r="AR119" s="27">
        <v>51</v>
      </c>
      <c r="AS119" s="27">
        <v>49</v>
      </c>
      <c r="AT119" s="27">
        <v>50</v>
      </c>
      <c r="AU119" s="27">
        <v>42</v>
      </c>
      <c r="AV119" s="27">
        <v>0</v>
      </c>
      <c r="AW119" s="27">
        <v>0</v>
      </c>
      <c r="AX119" s="27">
        <v>0</v>
      </c>
      <c r="AY119" s="27">
        <v>0</v>
      </c>
      <c r="AZ119" s="27">
        <v>308</v>
      </c>
      <c r="BA119" s="27">
        <v>92</v>
      </c>
      <c r="BB119" s="27">
        <v>0</v>
      </c>
      <c r="BC119" s="27">
        <v>452</v>
      </c>
      <c r="BD119" s="27">
        <v>400</v>
      </c>
      <c r="BE119" s="27">
        <v>452</v>
      </c>
      <c r="BF119" s="27">
        <v>30</v>
      </c>
      <c r="BG119" s="27">
        <v>22</v>
      </c>
      <c r="BH119" s="27">
        <v>0</v>
      </c>
      <c r="BI119" s="27">
        <v>139</v>
      </c>
      <c r="BJ119" s="27">
        <v>87</v>
      </c>
      <c r="BK119" s="29">
        <v>3</v>
      </c>
      <c r="BL119" s="29">
        <v>90</v>
      </c>
      <c r="BM119" s="29">
        <v>18</v>
      </c>
      <c r="BN119" s="30">
        <v>5.433673469387762E-2</v>
      </c>
      <c r="BO119" s="31">
        <v>28.5</v>
      </c>
      <c r="BP119" s="31">
        <v>27.5</v>
      </c>
      <c r="BQ119" s="31">
        <v>27.5</v>
      </c>
      <c r="BR119" s="31">
        <v>29.5</v>
      </c>
      <c r="BS119" s="32">
        <v>0</v>
      </c>
      <c r="BT119" s="32">
        <v>0</v>
      </c>
      <c r="BU119" s="33">
        <v>0</v>
      </c>
      <c r="BV119" s="33">
        <v>20.45</v>
      </c>
      <c r="BW119" s="33">
        <v>29.477777</v>
      </c>
      <c r="BX119" s="33">
        <v>49.927777777777777</v>
      </c>
      <c r="BY119" s="33">
        <v>51.894444444444446</v>
      </c>
      <c r="BZ119" s="33">
        <v>49.205555555555556</v>
      </c>
      <c r="CA119" s="33">
        <v>51.305555555555557</v>
      </c>
      <c r="CB119" s="33">
        <v>52.711111111111109</v>
      </c>
      <c r="CC119" s="33">
        <v>48.355555555555554</v>
      </c>
      <c r="CD119" s="33">
        <v>47.87222222222222</v>
      </c>
      <c r="CE119" s="33">
        <v>48.783333333333331</v>
      </c>
      <c r="CF119" s="33">
        <v>41.5</v>
      </c>
      <c r="CG119" s="33">
        <v>0</v>
      </c>
      <c r="CH119" s="33">
        <v>0</v>
      </c>
      <c r="CI119" s="33">
        <v>0</v>
      </c>
      <c r="CJ119" s="33">
        <v>0</v>
      </c>
      <c r="CK119" s="33">
        <v>301.34444444444443</v>
      </c>
      <c r="CL119" s="33">
        <v>90.283333333333331</v>
      </c>
      <c r="CM119" s="33">
        <v>0</v>
      </c>
      <c r="CN119" s="33">
        <v>441.55555555555554</v>
      </c>
      <c r="CO119" s="33">
        <v>391.62777777777774</v>
      </c>
      <c r="CP119" s="33">
        <v>441.55555555555554</v>
      </c>
      <c r="CQ119" s="33">
        <v>84.7777777777778</v>
      </c>
      <c r="CR119" s="33">
        <v>3.3277777777777802</v>
      </c>
      <c r="CS119" s="33">
        <v>88.105555555555583</v>
      </c>
      <c r="CT119" s="33">
        <v>0</v>
      </c>
      <c r="CU119" s="33">
        <v>34</v>
      </c>
      <c r="CV119" s="32">
        <v>21</v>
      </c>
      <c r="CW119" s="32">
        <v>55</v>
      </c>
      <c r="CX119" s="32">
        <v>52</v>
      </c>
      <c r="CY119" s="32">
        <v>53</v>
      </c>
      <c r="CZ119" s="32">
        <v>51</v>
      </c>
      <c r="DA119" s="32">
        <v>53</v>
      </c>
      <c r="DB119" s="32">
        <v>57</v>
      </c>
      <c r="DC119" s="32">
        <v>46</v>
      </c>
      <c r="DD119" s="32">
        <v>42</v>
      </c>
      <c r="DE119" s="32">
        <v>36</v>
      </c>
      <c r="DF119" s="32">
        <v>0</v>
      </c>
      <c r="DG119" s="32">
        <v>0</v>
      </c>
      <c r="DH119" s="32">
        <v>0</v>
      </c>
      <c r="DI119" s="32">
        <v>0</v>
      </c>
      <c r="DJ119" s="32">
        <v>312</v>
      </c>
      <c r="DK119" s="32">
        <v>78</v>
      </c>
      <c r="DL119" s="32">
        <v>0</v>
      </c>
      <c r="DM119" s="32">
        <v>445</v>
      </c>
      <c r="DN119" s="32">
        <v>390</v>
      </c>
      <c r="DO119" s="32">
        <v>445</v>
      </c>
      <c r="DP119" s="32">
        <v>0</v>
      </c>
      <c r="DQ119" s="32">
        <v>187</v>
      </c>
      <c r="DR119" s="32">
        <v>89</v>
      </c>
      <c r="DS119" s="32">
        <v>3</v>
      </c>
      <c r="DT119" s="32">
        <v>92</v>
      </c>
      <c r="DU119" s="32">
        <v>14</v>
      </c>
      <c r="DV119" s="33">
        <v>28.33</v>
      </c>
      <c r="DW119" s="33">
        <v>28.33</v>
      </c>
      <c r="DX119" s="33">
        <v>20.91</v>
      </c>
      <c r="DY119" s="33">
        <v>5.92</v>
      </c>
      <c r="DZ119" s="33">
        <v>0</v>
      </c>
      <c r="EA119" s="33">
        <v>29.83</v>
      </c>
      <c r="EB119" s="34">
        <v>5.8894230769230838E-2</v>
      </c>
      <c r="EC119" s="32"/>
      <c r="ED119" s="32">
        <v>55</v>
      </c>
      <c r="EE119" s="32">
        <v>388</v>
      </c>
      <c r="EF119" s="32">
        <v>311</v>
      </c>
      <c r="EG119" s="32">
        <v>77</v>
      </c>
      <c r="EH119" s="32">
        <v>0</v>
      </c>
      <c r="EI119" s="32">
        <v>443</v>
      </c>
      <c r="EJ119" s="32">
        <v>0</v>
      </c>
      <c r="EK119" s="32">
        <v>94</v>
      </c>
      <c r="EL119" s="32">
        <v>94</v>
      </c>
      <c r="EM119" s="32">
        <v>89</v>
      </c>
      <c r="EN119" s="32">
        <v>5</v>
      </c>
      <c r="EO119" s="32">
        <v>19</v>
      </c>
      <c r="EP119" s="33">
        <v>27.95</v>
      </c>
      <c r="EQ119" s="33">
        <v>3.15</v>
      </c>
      <c r="ER119" s="33">
        <v>2.72</v>
      </c>
      <c r="ES119" s="33">
        <v>0</v>
      </c>
      <c r="ET119" s="33">
        <v>14.9</v>
      </c>
      <c r="EU119" s="33">
        <v>48.72</v>
      </c>
    </row>
    <row r="120" spans="1:151" ht="27.6" x14ac:dyDescent="0.3">
      <c r="A120" s="25" t="s">
        <v>205</v>
      </c>
      <c r="B120" s="26" t="s">
        <v>426</v>
      </c>
      <c r="C120" s="27" t="s">
        <v>206</v>
      </c>
      <c r="D120" s="27" t="s">
        <v>272</v>
      </c>
      <c r="E120" s="26" t="s">
        <v>504</v>
      </c>
      <c r="F120" s="26" t="s">
        <v>504</v>
      </c>
      <c r="G120" s="28">
        <v>91.788888888888891</v>
      </c>
      <c r="H120" s="28">
        <v>0.71111111111111114</v>
      </c>
      <c r="I120" s="29">
        <v>73</v>
      </c>
      <c r="J120" s="29">
        <v>459</v>
      </c>
      <c r="K120" s="29">
        <v>134</v>
      </c>
      <c r="L120" s="29">
        <v>0</v>
      </c>
      <c r="M120" s="29">
        <v>666</v>
      </c>
      <c r="N120" s="29">
        <v>593</v>
      </c>
      <c r="O120" s="29">
        <v>666</v>
      </c>
      <c r="P120" s="29">
        <v>5</v>
      </c>
      <c r="Q120" s="27">
        <v>68.894444444444446</v>
      </c>
      <c r="R120" s="27">
        <v>70.788888888888891</v>
      </c>
      <c r="S120" s="27">
        <v>77.62777777777778</v>
      </c>
      <c r="T120" s="27">
        <v>73.938888888888883</v>
      </c>
      <c r="U120" s="27">
        <v>76.088888888888889</v>
      </c>
      <c r="V120" s="27">
        <v>75.822222222222223</v>
      </c>
      <c r="W120" s="27">
        <v>72.783333333333331</v>
      </c>
      <c r="X120" s="27">
        <v>66.805555555555557</v>
      </c>
      <c r="Y120" s="27">
        <v>59.738888888888887</v>
      </c>
      <c r="Z120" s="27">
        <v>0</v>
      </c>
      <c r="AA120" s="27">
        <v>0</v>
      </c>
      <c r="AB120" s="27">
        <v>0</v>
      </c>
      <c r="AC120" s="27">
        <v>0</v>
      </c>
      <c r="AD120" s="27">
        <v>447.04999999999995</v>
      </c>
      <c r="AE120" s="27">
        <v>126.54444444444445</v>
      </c>
      <c r="AF120" s="27">
        <v>0</v>
      </c>
      <c r="AG120" s="27">
        <v>642.48888888888894</v>
      </c>
      <c r="AH120" s="27">
        <v>573.59444444444443</v>
      </c>
      <c r="AI120" s="27">
        <v>642.48888888888894</v>
      </c>
      <c r="AJ120" s="28">
        <v>97.561111111111117</v>
      </c>
      <c r="AK120" s="28">
        <v>5</v>
      </c>
      <c r="AL120" s="28">
        <v>102.56111111111112</v>
      </c>
      <c r="AM120" s="29">
        <v>70</v>
      </c>
      <c r="AN120" s="35">
        <v>68</v>
      </c>
      <c r="AO120" s="27">
        <v>76</v>
      </c>
      <c r="AP120" s="27">
        <v>78</v>
      </c>
      <c r="AQ120" s="27">
        <v>79</v>
      </c>
      <c r="AR120" s="27">
        <v>74</v>
      </c>
      <c r="AS120" s="27">
        <v>75</v>
      </c>
      <c r="AT120" s="27">
        <v>60</v>
      </c>
      <c r="AU120" s="27">
        <v>67</v>
      </c>
      <c r="AV120" s="27">
        <v>0</v>
      </c>
      <c r="AW120" s="27">
        <v>0</v>
      </c>
      <c r="AX120" s="27">
        <v>0</v>
      </c>
      <c r="AY120" s="27">
        <v>0</v>
      </c>
      <c r="AZ120" s="27">
        <v>450</v>
      </c>
      <c r="BA120" s="27">
        <v>127</v>
      </c>
      <c r="BB120" s="27">
        <v>0</v>
      </c>
      <c r="BC120" s="27">
        <v>647</v>
      </c>
      <c r="BD120" s="27">
        <v>577</v>
      </c>
      <c r="BE120" s="27">
        <v>647</v>
      </c>
      <c r="BF120" s="27">
        <v>0</v>
      </c>
      <c r="BG120" s="27">
        <v>70</v>
      </c>
      <c r="BH120" s="27">
        <v>0</v>
      </c>
      <c r="BI120" s="27">
        <v>190</v>
      </c>
      <c r="BJ120" s="27">
        <v>97</v>
      </c>
      <c r="BK120" s="29">
        <v>2</v>
      </c>
      <c r="BL120" s="29">
        <v>99</v>
      </c>
      <c r="BM120" s="29">
        <v>33</v>
      </c>
      <c r="BN120" s="30">
        <v>7.5295639320029584E-2</v>
      </c>
      <c r="BO120" s="31">
        <v>34.69</v>
      </c>
      <c r="BP120" s="31">
        <v>32.69</v>
      </c>
      <c r="BQ120" s="31">
        <v>31.69</v>
      </c>
      <c r="BR120" s="31">
        <v>34.69</v>
      </c>
      <c r="BS120" s="32">
        <v>0</v>
      </c>
      <c r="BT120" s="32">
        <v>0</v>
      </c>
      <c r="BU120" s="33">
        <v>0</v>
      </c>
      <c r="BV120" s="33">
        <v>2</v>
      </c>
      <c r="BW120" s="33">
        <v>68.716666000000004</v>
      </c>
      <c r="BX120" s="33">
        <v>70.716666666666669</v>
      </c>
      <c r="BY120" s="33">
        <v>66.05</v>
      </c>
      <c r="BZ120" s="33">
        <v>75.938888888888883</v>
      </c>
      <c r="CA120" s="33">
        <v>77.099999999999994</v>
      </c>
      <c r="CB120" s="33">
        <v>76.933333333333337</v>
      </c>
      <c r="CC120" s="33">
        <v>73.355555555555554</v>
      </c>
      <c r="CD120" s="33">
        <v>76.066666666666663</v>
      </c>
      <c r="CE120" s="33">
        <v>58.972222222222221</v>
      </c>
      <c r="CF120" s="33">
        <v>64.311111111111117</v>
      </c>
      <c r="CG120" s="33">
        <v>0</v>
      </c>
      <c r="CH120" s="33">
        <v>0</v>
      </c>
      <c r="CI120" s="33">
        <v>0</v>
      </c>
      <c r="CJ120" s="33">
        <v>0</v>
      </c>
      <c r="CK120" s="33">
        <v>445.44444444444446</v>
      </c>
      <c r="CL120" s="33">
        <v>123.28333333333333</v>
      </c>
      <c r="CM120" s="33">
        <v>0</v>
      </c>
      <c r="CN120" s="33">
        <v>639.44444444444434</v>
      </c>
      <c r="CO120" s="33">
        <v>568.72777777777776</v>
      </c>
      <c r="CP120" s="33">
        <v>639.44444444444434</v>
      </c>
      <c r="CQ120" s="33">
        <v>98.822222222222194</v>
      </c>
      <c r="CR120" s="33">
        <v>2.1555555555555599</v>
      </c>
      <c r="CS120" s="33">
        <v>100.97777777777776</v>
      </c>
      <c r="CT120" s="33">
        <v>0</v>
      </c>
      <c r="CU120" s="33">
        <v>71</v>
      </c>
      <c r="CV120" s="32">
        <v>4</v>
      </c>
      <c r="CW120" s="32">
        <v>75</v>
      </c>
      <c r="CX120" s="32">
        <v>76</v>
      </c>
      <c r="CY120" s="32">
        <v>72</v>
      </c>
      <c r="CZ120" s="32">
        <v>76</v>
      </c>
      <c r="DA120" s="32">
        <v>80</v>
      </c>
      <c r="DB120" s="32">
        <v>85</v>
      </c>
      <c r="DC120" s="32">
        <v>79</v>
      </c>
      <c r="DD120" s="32">
        <v>76</v>
      </c>
      <c r="DE120" s="32">
        <v>73</v>
      </c>
      <c r="DF120" s="32">
        <v>0</v>
      </c>
      <c r="DG120" s="32">
        <v>0</v>
      </c>
      <c r="DH120" s="32">
        <v>0</v>
      </c>
      <c r="DI120" s="32">
        <v>0</v>
      </c>
      <c r="DJ120" s="32">
        <v>468</v>
      </c>
      <c r="DK120" s="32">
        <v>149</v>
      </c>
      <c r="DL120" s="32">
        <v>0</v>
      </c>
      <c r="DM120" s="32">
        <v>692</v>
      </c>
      <c r="DN120" s="32">
        <v>617</v>
      </c>
      <c r="DO120" s="32">
        <v>692</v>
      </c>
      <c r="DP120" s="32">
        <v>0</v>
      </c>
      <c r="DQ120" s="32">
        <v>209</v>
      </c>
      <c r="DR120" s="32">
        <v>110</v>
      </c>
      <c r="DS120" s="32">
        <v>4</v>
      </c>
      <c r="DT120" s="32">
        <v>114</v>
      </c>
      <c r="DU120" s="32">
        <v>30</v>
      </c>
      <c r="DV120" s="33">
        <v>35.379000000000005</v>
      </c>
      <c r="DW120" s="33">
        <v>33.379000000000005</v>
      </c>
      <c r="DX120" s="33">
        <v>20.408999999999999</v>
      </c>
      <c r="DY120" s="33">
        <v>9.9700000000000006</v>
      </c>
      <c r="DZ120" s="33">
        <v>0</v>
      </c>
      <c r="EA120" s="33">
        <v>36.338999999999999</v>
      </c>
      <c r="EB120" s="34">
        <v>7.8099309437685061E-2</v>
      </c>
      <c r="EC120" s="32"/>
      <c r="ED120" s="32">
        <v>75</v>
      </c>
      <c r="EE120" s="32">
        <v>611</v>
      </c>
      <c r="EF120" s="32">
        <v>468</v>
      </c>
      <c r="EG120" s="32">
        <v>143</v>
      </c>
      <c r="EH120" s="32">
        <v>0</v>
      </c>
      <c r="EI120" s="32">
        <v>686</v>
      </c>
      <c r="EJ120" s="32">
        <v>0</v>
      </c>
      <c r="EK120" s="32">
        <v>115</v>
      </c>
      <c r="EL120" s="32">
        <v>115</v>
      </c>
      <c r="EM120" s="32">
        <v>111</v>
      </c>
      <c r="EN120" s="32">
        <v>4</v>
      </c>
      <c r="EO120" s="32">
        <v>9</v>
      </c>
      <c r="EP120" s="33">
        <v>17.513000000000002</v>
      </c>
      <c r="EQ120" s="33">
        <v>1.25</v>
      </c>
      <c r="ER120" s="33">
        <v>3</v>
      </c>
      <c r="ES120" s="33">
        <v>0</v>
      </c>
      <c r="ET120" s="33">
        <v>8.0649999999999995</v>
      </c>
      <c r="EU120" s="33">
        <v>29.828000000000003</v>
      </c>
    </row>
    <row r="121" spans="1:151" ht="55.2" x14ac:dyDescent="0.3">
      <c r="A121" s="25" t="s">
        <v>223</v>
      </c>
      <c r="B121" s="26" t="s">
        <v>437</v>
      </c>
      <c r="C121" s="27" t="s">
        <v>719</v>
      </c>
      <c r="D121" s="27" t="s">
        <v>272</v>
      </c>
      <c r="E121" s="26" t="s">
        <v>504</v>
      </c>
      <c r="F121" s="26" t="s">
        <v>504</v>
      </c>
      <c r="G121" s="28">
        <v>110.55</v>
      </c>
      <c r="H121" s="28">
        <v>2.3333333333333335</v>
      </c>
      <c r="I121" s="29">
        <v>114</v>
      </c>
      <c r="J121" s="29">
        <v>545</v>
      </c>
      <c r="K121" s="29">
        <v>0</v>
      </c>
      <c r="L121" s="29">
        <v>0</v>
      </c>
      <c r="M121" s="29">
        <v>659</v>
      </c>
      <c r="N121" s="29">
        <v>545</v>
      </c>
      <c r="O121" s="29">
        <v>659</v>
      </c>
      <c r="P121" s="29">
        <v>2</v>
      </c>
      <c r="Q121" s="27">
        <v>114.34444444444445</v>
      </c>
      <c r="R121" s="27">
        <v>100.33888888888889</v>
      </c>
      <c r="S121" s="27">
        <v>94.74444444444444</v>
      </c>
      <c r="T121" s="27">
        <v>94.55</v>
      </c>
      <c r="U121" s="27">
        <v>97.605555555555554</v>
      </c>
      <c r="V121" s="27">
        <v>86.277777777777771</v>
      </c>
      <c r="W121" s="27">
        <v>58.716666666666669</v>
      </c>
      <c r="X121" s="27">
        <v>0</v>
      </c>
      <c r="Y121" s="27">
        <v>0</v>
      </c>
      <c r="Z121" s="27">
        <v>0</v>
      </c>
      <c r="AA121" s="27">
        <v>0</v>
      </c>
      <c r="AB121" s="27">
        <v>0</v>
      </c>
      <c r="AC121" s="27">
        <v>0</v>
      </c>
      <c r="AD121" s="27">
        <v>532.23333333333335</v>
      </c>
      <c r="AE121" s="27">
        <v>0</v>
      </c>
      <c r="AF121" s="27">
        <v>0</v>
      </c>
      <c r="AG121" s="27">
        <v>646.57777777777778</v>
      </c>
      <c r="AH121" s="27">
        <v>532.23333333333335</v>
      </c>
      <c r="AI121" s="27">
        <v>646.57777777777778</v>
      </c>
      <c r="AJ121" s="28">
        <v>100.63888888888889</v>
      </c>
      <c r="AK121" s="28">
        <v>1.3722222222222222</v>
      </c>
      <c r="AL121" s="28">
        <v>102.01111111111111</v>
      </c>
      <c r="AM121" s="29">
        <v>105</v>
      </c>
      <c r="AN121" s="35">
        <v>123</v>
      </c>
      <c r="AO121" s="27">
        <v>107</v>
      </c>
      <c r="AP121" s="27">
        <v>95</v>
      </c>
      <c r="AQ121" s="27">
        <v>102</v>
      </c>
      <c r="AR121" s="27">
        <v>105</v>
      </c>
      <c r="AS121" s="27">
        <v>88</v>
      </c>
      <c r="AT121" s="27">
        <v>0</v>
      </c>
      <c r="AU121" s="27">
        <v>0</v>
      </c>
      <c r="AV121" s="27">
        <v>0</v>
      </c>
      <c r="AW121" s="27">
        <v>0</v>
      </c>
      <c r="AX121" s="27">
        <v>0</v>
      </c>
      <c r="AY121" s="27">
        <v>0</v>
      </c>
      <c r="AZ121" s="27">
        <v>620</v>
      </c>
      <c r="BA121" s="27">
        <v>0</v>
      </c>
      <c r="BB121" s="27">
        <v>0</v>
      </c>
      <c r="BC121" s="27">
        <v>725</v>
      </c>
      <c r="BD121" s="27">
        <v>620</v>
      </c>
      <c r="BE121" s="27">
        <v>725</v>
      </c>
      <c r="BF121" s="27">
        <v>59</v>
      </c>
      <c r="BG121" s="27">
        <v>46</v>
      </c>
      <c r="BH121" s="27">
        <v>0</v>
      </c>
      <c r="BI121" s="27">
        <v>199</v>
      </c>
      <c r="BJ121" s="27">
        <v>84</v>
      </c>
      <c r="BK121" s="29">
        <v>1</v>
      </c>
      <c r="BL121" s="29">
        <v>85</v>
      </c>
      <c r="BM121" s="29">
        <v>34</v>
      </c>
      <c r="BN121" s="30">
        <v>5.7136617749825425E-2</v>
      </c>
      <c r="BO121" s="31">
        <v>37.602999999999994</v>
      </c>
      <c r="BP121" s="31">
        <v>34.603000000000002</v>
      </c>
      <c r="BQ121" s="31">
        <v>33.33</v>
      </c>
      <c r="BR121" s="31">
        <v>37.635999999999996</v>
      </c>
      <c r="BS121" s="32">
        <v>0</v>
      </c>
      <c r="BT121" s="32">
        <v>0</v>
      </c>
      <c r="BU121" s="33">
        <v>0</v>
      </c>
      <c r="BV121" s="33">
        <v>45.383333</v>
      </c>
      <c r="BW121" s="33">
        <v>58.666665999999999</v>
      </c>
      <c r="BX121" s="33">
        <v>104.05</v>
      </c>
      <c r="BY121" s="33">
        <v>120.73888888888889</v>
      </c>
      <c r="BZ121" s="33">
        <v>105.02222222222223</v>
      </c>
      <c r="CA121" s="33">
        <v>94.333333333333329</v>
      </c>
      <c r="CB121" s="33">
        <v>100.11666666666666</v>
      </c>
      <c r="CC121" s="33">
        <v>104.97777777777777</v>
      </c>
      <c r="CD121" s="33">
        <v>86.555555555555557</v>
      </c>
      <c r="CE121" s="33">
        <v>0</v>
      </c>
      <c r="CF121" s="33">
        <v>0</v>
      </c>
      <c r="CG121" s="33">
        <v>0</v>
      </c>
      <c r="CH121" s="33">
        <v>0</v>
      </c>
      <c r="CI121" s="33">
        <v>0</v>
      </c>
      <c r="CJ121" s="33">
        <v>0</v>
      </c>
      <c r="CK121" s="33">
        <v>611.74444444444441</v>
      </c>
      <c r="CL121" s="33">
        <v>0</v>
      </c>
      <c r="CM121" s="33">
        <v>0</v>
      </c>
      <c r="CN121" s="33">
        <v>715.79444444444437</v>
      </c>
      <c r="CO121" s="33">
        <v>611.74444444444441</v>
      </c>
      <c r="CP121" s="33">
        <v>715.79444444444437</v>
      </c>
      <c r="CQ121" s="33">
        <v>102.444444444444</v>
      </c>
      <c r="CR121" s="33">
        <v>0</v>
      </c>
      <c r="CS121" s="33">
        <v>102.444444444444</v>
      </c>
      <c r="CT121" s="33">
        <v>0</v>
      </c>
      <c r="CU121" s="33">
        <v>84</v>
      </c>
      <c r="CV121" s="32">
        <v>23</v>
      </c>
      <c r="CW121" s="32">
        <v>107</v>
      </c>
      <c r="CX121" s="32">
        <v>113</v>
      </c>
      <c r="CY121" s="32">
        <v>111</v>
      </c>
      <c r="CZ121" s="32">
        <v>106</v>
      </c>
      <c r="DA121" s="32">
        <v>91</v>
      </c>
      <c r="DB121" s="32">
        <v>96</v>
      </c>
      <c r="DC121" s="32">
        <v>96</v>
      </c>
      <c r="DD121" s="32">
        <v>0</v>
      </c>
      <c r="DE121" s="32">
        <v>0</v>
      </c>
      <c r="DF121" s="32">
        <v>0</v>
      </c>
      <c r="DG121" s="32">
        <v>0</v>
      </c>
      <c r="DH121" s="32">
        <v>0</v>
      </c>
      <c r="DI121" s="32">
        <v>0</v>
      </c>
      <c r="DJ121" s="32">
        <v>613</v>
      </c>
      <c r="DK121" s="32">
        <v>0</v>
      </c>
      <c r="DL121" s="32">
        <v>0</v>
      </c>
      <c r="DM121" s="32">
        <v>720</v>
      </c>
      <c r="DN121" s="32">
        <v>613</v>
      </c>
      <c r="DO121" s="32">
        <v>720</v>
      </c>
      <c r="DP121" s="32">
        <v>0</v>
      </c>
      <c r="DQ121" s="32">
        <v>156</v>
      </c>
      <c r="DR121" s="32">
        <v>73</v>
      </c>
      <c r="DS121" s="32">
        <v>0</v>
      </c>
      <c r="DT121" s="32">
        <v>73</v>
      </c>
      <c r="DU121" s="32">
        <v>21</v>
      </c>
      <c r="DV121" s="33">
        <v>38.99</v>
      </c>
      <c r="DW121" s="33">
        <v>35.802000000000007</v>
      </c>
      <c r="DX121" s="33">
        <v>32.201000000000008</v>
      </c>
      <c r="DY121" s="33">
        <v>0</v>
      </c>
      <c r="DZ121" s="33">
        <v>0</v>
      </c>
      <c r="EA121" s="33">
        <v>39.990000000000009</v>
      </c>
      <c r="EB121" s="34">
        <v>6.2626995051289547E-2</v>
      </c>
      <c r="EC121" s="32"/>
      <c r="ED121" s="32">
        <v>125</v>
      </c>
      <c r="EE121" s="32">
        <v>588</v>
      </c>
      <c r="EF121" s="32">
        <v>588</v>
      </c>
      <c r="EG121" s="32">
        <v>0</v>
      </c>
      <c r="EH121" s="32">
        <v>0</v>
      </c>
      <c r="EI121" s="32">
        <v>713</v>
      </c>
      <c r="EJ121" s="32">
        <v>0</v>
      </c>
      <c r="EK121" s="32">
        <v>83</v>
      </c>
      <c r="EL121" s="32">
        <v>83</v>
      </c>
      <c r="EM121" s="32">
        <v>82</v>
      </c>
      <c r="EN121" s="32">
        <v>1</v>
      </c>
      <c r="EO121" s="32">
        <v>0</v>
      </c>
      <c r="EP121" s="33">
        <v>34.283999999999999</v>
      </c>
      <c r="EQ121" s="33">
        <v>1.0660000000000001</v>
      </c>
      <c r="ER121" s="33">
        <v>6.7830000000000004</v>
      </c>
      <c r="ES121" s="33">
        <v>1.863</v>
      </c>
      <c r="ET121" s="33">
        <v>3.0009999999999999</v>
      </c>
      <c r="EU121" s="33">
        <v>46.997</v>
      </c>
    </row>
    <row r="122" spans="1:151" ht="27.6" x14ac:dyDescent="0.3">
      <c r="A122" s="25" t="s">
        <v>239</v>
      </c>
      <c r="B122" s="26" t="s">
        <v>446</v>
      </c>
      <c r="C122" s="27" t="s">
        <v>240</v>
      </c>
      <c r="D122" s="27" t="s">
        <v>272</v>
      </c>
      <c r="E122" s="26" t="s">
        <v>504</v>
      </c>
      <c r="F122" s="26" t="s">
        <v>504</v>
      </c>
      <c r="G122" s="28">
        <v>67.738888888888894</v>
      </c>
      <c r="H122" s="28">
        <v>6.0777777777777775</v>
      </c>
      <c r="I122" s="29">
        <v>49</v>
      </c>
      <c r="J122" s="29">
        <v>282</v>
      </c>
      <c r="K122" s="29">
        <v>93</v>
      </c>
      <c r="L122" s="29">
        <v>0</v>
      </c>
      <c r="M122" s="29">
        <v>424</v>
      </c>
      <c r="N122" s="29">
        <v>375</v>
      </c>
      <c r="O122" s="29">
        <v>424</v>
      </c>
      <c r="P122" s="29">
        <v>4</v>
      </c>
      <c r="Q122" s="27">
        <v>49.544444444444444</v>
      </c>
      <c r="R122" s="27">
        <v>42.955555555555556</v>
      </c>
      <c r="S122" s="27">
        <v>42.43888888888889</v>
      </c>
      <c r="T122" s="27">
        <v>45.422222222222224</v>
      </c>
      <c r="U122" s="27">
        <v>55.388888888888886</v>
      </c>
      <c r="V122" s="27">
        <v>43.966666666666669</v>
      </c>
      <c r="W122" s="27">
        <v>42.233333333333334</v>
      </c>
      <c r="X122" s="27">
        <v>42.916666666666664</v>
      </c>
      <c r="Y122" s="27">
        <v>50.3</v>
      </c>
      <c r="Z122" s="27">
        <v>0</v>
      </c>
      <c r="AA122" s="27">
        <v>0</v>
      </c>
      <c r="AB122" s="27">
        <v>0</v>
      </c>
      <c r="AC122" s="27">
        <v>0</v>
      </c>
      <c r="AD122" s="27">
        <v>272.40555555555557</v>
      </c>
      <c r="AE122" s="27">
        <v>93.216666666666669</v>
      </c>
      <c r="AF122" s="27">
        <v>0</v>
      </c>
      <c r="AG122" s="27">
        <v>415.16666666666674</v>
      </c>
      <c r="AH122" s="27">
        <v>365.62222222222226</v>
      </c>
      <c r="AI122" s="27">
        <v>415.16666666666674</v>
      </c>
      <c r="AJ122" s="28">
        <v>47.983333333333334</v>
      </c>
      <c r="AK122" s="28">
        <v>3.6111111111111112</v>
      </c>
      <c r="AL122" s="28">
        <v>51.594444444444449</v>
      </c>
      <c r="AM122" s="29">
        <v>36</v>
      </c>
      <c r="AN122" s="35">
        <v>43</v>
      </c>
      <c r="AO122" s="27">
        <v>38</v>
      </c>
      <c r="AP122" s="27">
        <v>34</v>
      </c>
      <c r="AQ122" s="27">
        <v>39</v>
      </c>
      <c r="AR122" s="27">
        <v>59</v>
      </c>
      <c r="AS122" s="27">
        <v>38</v>
      </c>
      <c r="AT122" s="27">
        <v>37</v>
      </c>
      <c r="AU122" s="27">
        <v>41</v>
      </c>
      <c r="AV122" s="27">
        <v>0</v>
      </c>
      <c r="AW122" s="27">
        <v>0</v>
      </c>
      <c r="AX122" s="27">
        <v>0</v>
      </c>
      <c r="AY122" s="27">
        <v>0</v>
      </c>
      <c r="AZ122" s="27">
        <v>251</v>
      </c>
      <c r="BA122" s="27">
        <v>78</v>
      </c>
      <c r="BB122" s="27">
        <v>0</v>
      </c>
      <c r="BC122" s="27">
        <v>365</v>
      </c>
      <c r="BD122" s="27">
        <v>329</v>
      </c>
      <c r="BE122" s="27">
        <v>365</v>
      </c>
      <c r="BF122" s="27">
        <v>33</v>
      </c>
      <c r="BG122" s="27">
        <v>3</v>
      </c>
      <c r="BH122" s="27">
        <v>0</v>
      </c>
      <c r="BI122" s="27">
        <v>88</v>
      </c>
      <c r="BJ122" s="27">
        <v>41</v>
      </c>
      <c r="BK122" s="29">
        <v>1</v>
      </c>
      <c r="BL122" s="29">
        <v>42</v>
      </c>
      <c r="BM122" s="29">
        <v>34</v>
      </c>
      <c r="BN122" s="30">
        <v>6.5557690767875709E-2</v>
      </c>
      <c r="BO122" s="31">
        <v>21.63</v>
      </c>
      <c r="BP122" s="31">
        <v>21.63</v>
      </c>
      <c r="BQ122" s="31">
        <v>21.63</v>
      </c>
      <c r="BR122" s="31">
        <v>22.63</v>
      </c>
      <c r="BS122" s="32">
        <v>0</v>
      </c>
      <c r="BT122" s="32">
        <v>0</v>
      </c>
      <c r="BU122" s="33">
        <v>0</v>
      </c>
      <c r="BV122" s="33">
        <v>2.8444440000000002</v>
      </c>
      <c r="BW122" s="33">
        <v>33.516666000000001</v>
      </c>
      <c r="BX122" s="33">
        <v>36.361111111111114</v>
      </c>
      <c r="BY122" s="33">
        <v>44.094444444444441</v>
      </c>
      <c r="BZ122" s="33">
        <v>37.538888888888891</v>
      </c>
      <c r="CA122" s="33">
        <v>32.961111111111109</v>
      </c>
      <c r="CB122" s="33">
        <v>40.911111111111111</v>
      </c>
      <c r="CC122" s="33">
        <v>57.705555555555556</v>
      </c>
      <c r="CD122" s="33">
        <v>35.366666666666667</v>
      </c>
      <c r="CE122" s="33">
        <v>36.344444444444441</v>
      </c>
      <c r="CF122" s="33">
        <v>38.072222222222223</v>
      </c>
      <c r="CG122" s="33">
        <v>0</v>
      </c>
      <c r="CH122" s="33">
        <v>0</v>
      </c>
      <c r="CI122" s="33">
        <v>0</v>
      </c>
      <c r="CJ122" s="33">
        <v>0</v>
      </c>
      <c r="CK122" s="33">
        <v>248.57777777777775</v>
      </c>
      <c r="CL122" s="33">
        <v>74.416666666666657</v>
      </c>
      <c r="CM122" s="33">
        <v>0</v>
      </c>
      <c r="CN122" s="33">
        <v>359.3555555555555</v>
      </c>
      <c r="CO122" s="33">
        <v>322.99444444444441</v>
      </c>
      <c r="CP122" s="33">
        <v>359.3555555555555</v>
      </c>
      <c r="CQ122" s="33">
        <v>39.927777777777798</v>
      </c>
      <c r="CR122" s="33">
        <v>1</v>
      </c>
      <c r="CS122" s="33">
        <v>40.927777777777798</v>
      </c>
      <c r="CT122" s="33">
        <v>0</v>
      </c>
      <c r="CU122" s="33">
        <v>33</v>
      </c>
      <c r="CV122" s="32">
        <v>0</v>
      </c>
      <c r="CW122" s="32">
        <v>33</v>
      </c>
      <c r="CX122" s="32">
        <v>32</v>
      </c>
      <c r="CY122" s="32">
        <v>44</v>
      </c>
      <c r="CZ122" s="32">
        <v>39</v>
      </c>
      <c r="DA122" s="32">
        <v>32</v>
      </c>
      <c r="DB122" s="32">
        <v>39</v>
      </c>
      <c r="DC122" s="32">
        <v>50</v>
      </c>
      <c r="DD122" s="32">
        <v>33</v>
      </c>
      <c r="DE122" s="32">
        <v>35</v>
      </c>
      <c r="DF122" s="32">
        <v>0</v>
      </c>
      <c r="DG122" s="32">
        <v>0</v>
      </c>
      <c r="DH122" s="32">
        <v>0</v>
      </c>
      <c r="DI122" s="32">
        <v>0</v>
      </c>
      <c r="DJ122" s="32">
        <v>236</v>
      </c>
      <c r="DK122" s="32">
        <v>68</v>
      </c>
      <c r="DL122" s="32">
        <v>0</v>
      </c>
      <c r="DM122" s="32">
        <v>337</v>
      </c>
      <c r="DN122" s="32">
        <v>304</v>
      </c>
      <c r="DO122" s="32">
        <v>337</v>
      </c>
      <c r="DP122" s="32">
        <v>0</v>
      </c>
      <c r="DQ122" s="32">
        <v>83</v>
      </c>
      <c r="DR122" s="32">
        <v>41</v>
      </c>
      <c r="DS122" s="32">
        <v>2</v>
      </c>
      <c r="DT122" s="32">
        <v>43</v>
      </c>
      <c r="DU122" s="32">
        <v>39</v>
      </c>
      <c r="DV122" s="33">
        <v>17.63</v>
      </c>
      <c r="DW122" s="33">
        <v>17.63</v>
      </c>
      <c r="DX122" s="33">
        <v>13.63</v>
      </c>
      <c r="DY122" s="33">
        <v>4</v>
      </c>
      <c r="DZ122" s="33">
        <v>0</v>
      </c>
      <c r="EA122" s="33">
        <v>20.630000000000003</v>
      </c>
      <c r="EB122" s="34">
        <v>6.1615755627009661E-2</v>
      </c>
      <c r="EC122" s="32"/>
      <c r="ED122" s="32">
        <v>32</v>
      </c>
      <c r="EE122" s="32">
        <v>304</v>
      </c>
      <c r="EF122" s="32">
        <v>244</v>
      </c>
      <c r="EG122" s="32">
        <v>60</v>
      </c>
      <c r="EH122" s="32">
        <v>0</v>
      </c>
      <c r="EI122" s="32">
        <v>336</v>
      </c>
      <c r="EJ122" s="32">
        <v>0</v>
      </c>
      <c r="EK122" s="32">
        <v>50</v>
      </c>
      <c r="EL122" s="32">
        <v>50</v>
      </c>
      <c r="EM122" s="32">
        <v>48</v>
      </c>
      <c r="EN122" s="32">
        <v>2</v>
      </c>
      <c r="EO122" s="32">
        <v>1</v>
      </c>
      <c r="EP122" s="33">
        <v>10.25</v>
      </c>
      <c r="EQ122" s="33">
        <v>0</v>
      </c>
      <c r="ER122" s="33">
        <v>2</v>
      </c>
      <c r="ES122" s="33">
        <v>0.63</v>
      </c>
      <c r="ET122" s="33">
        <v>8.4</v>
      </c>
      <c r="EU122" s="33">
        <v>21.28</v>
      </c>
    </row>
    <row r="123" spans="1:151" ht="55.2" x14ac:dyDescent="0.3">
      <c r="A123" s="25" t="s">
        <v>84</v>
      </c>
      <c r="B123" s="26" t="s">
        <v>321</v>
      </c>
      <c r="C123" s="27" t="s">
        <v>720</v>
      </c>
      <c r="D123" s="27" t="s">
        <v>272</v>
      </c>
      <c r="E123" s="26" t="s">
        <v>504</v>
      </c>
      <c r="F123" s="26" t="s">
        <v>504</v>
      </c>
      <c r="G123" s="28">
        <v>89.338888888888889</v>
      </c>
      <c r="H123" s="28">
        <v>6.0111111111111111</v>
      </c>
      <c r="I123" s="29">
        <v>79</v>
      </c>
      <c r="J123" s="29">
        <v>485</v>
      </c>
      <c r="K123" s="29">
        <v>123</v>
      </c>
      <c r="L123" s="29">
        <v>0</v>
      </c>
      <c r="M123" s="29">
        <v>687</v>
      </c>
      <c r="N123" s="29">
        <v>608</v>
      </c>
      <c r="O123" s="29">
        <v>687</v>
      </c>
      <c r="P123" s="29">
        <v>5</v>
      </c>
      <c r="Q123" s="27">
        <v>78.533333333333331</v>
      </c>
      <c r="R123" s="27">
        <v>81.816666666666663</v>
      </c>
      <c r="S123" s="27">
        <v>81.988888888888894</v>
      </c>
      <c r="T123" s="27">
        <v>82.977777777777774</v>
      </c>
      <c r="U123" s="27">
        <v>76.161111111111111</v>
      </c>
      <c r="V123" s="27">
        <v>80.111111111111114</v>
      </c>
      <c r="W123" s="27">
        <v>74.344444444444449</v>
      </c>
      <c r="X123" s="27">
        <v>60.572222222222223</v>
      </c>
      <c r="Y123" s="27">
        <v>58.894444444444446</v>
      </c>
      <c r="Z123" s="27">
        <v>0</v>
      </c>
      <c r="AA123" s="27">
        <v>0</v>
      </c>
      <c r="AB123" s="27">
        <v>0</v>
      </c>
      <c r="AC123" s="27">
        <v>0</v>
      </c>
      <c r="AD123" s="27">
        <v>477.4</v>
      </c>
      <c r="AE123" s="27">
        <v>119.46666666666667</v>
      </c>
      <c r="AF123" s="27">
        <v>0</v>
      </c>
      <c r="AG123" s="27">
        <v>675.39999999999986</v>
      </c>
      <c r="AH123" s="27">
        <v>596.86666666666656</v>
      </c>
      <c r="AI123" s="27">
        <v>675.39999999999986</v>
      </c>
      <c r="AJ123" s="28">
        <v>84.75</v>
      </c>
      <c r="AK123" s="28">
        <v>5.7111111111111112</v>
      </c>
      <c r="AL123" s="28">
        <v>90.461111111111109</v>
      </c>
      <c r="AM123" s="29">
        <v>78</v>
      </c>
      <c r="AN123" s="35">
        <v>81</v>
      </c>
      <c r="AO123" s="27">
        <v>85</v>
      </c>
      <c r="AP123" s="27">
        <v>82</v>
      </c>
      <c r="AQ123" s="27">
        <v>83</v>
      </c>
      <c r="AR123" s="27">
        <v>78</v>
      </c>
      <c r="AS123" s="27">
        <v>68</v>
      </c>
      <c r="AT123" s="27">
        <v>65</v>
      </c>
      <c r="AU123" s="27">
        <v>61</v>
      </c>
      <c r="AV123" s="27">
        <v>0</v>
      </c>
      <c r="AW123" s="27">
        <v>0</v>
      </c>
      <c r="AX123" s="27">
        <v>0</v>
      </c>
      <c r="AY123" s="27">
        <v>0</v>
      </c>
      <c r="AZ123" s="27">
        <v>477</v>
      </c>
      <c r="BA123" s="27">
        <v>126</v>
      </c>
      <c r="BB123" s="27">
        <v>0</v>
      </c>
      <c r="BC123" s="27">
        <v>681</v>
      </c>
      <c r="BD123" s="27">
        <v>603</v>
      </c>
      <c r="BE123" s="27">
        <v>681</v>
      </c>
      <c r="BF123" s="27">
        <v>0</v>
      </c>
      <c r="BG123" s="27">
        <v>78</v>
      </c>
      <c r="BH123" s="27">
        <v>0</v>
      </c>
      <c r="BI123" s="27">
        <v>163</v>
      </c>
      <c r="BJ123" s="27">
        <v>91</v>
      </c>
      <c r="BK123" s="29">
        <v>5</v>
      </c>
      <c r="BL123" s="29">
        <v>96</v>
      </c>
      <c r="BM123" s="29">
        <v>37</v>
      </c>
      <c r="BN123" s="30">
        <v>6.5622513922036663E-2</v>
      </c>
      <c r="BO123" s="31">
        <v>42.534999999999997</v>
      </c>
      <c r="BP123" s="31">
        <v>39.534999999999997</v>
      </c>
      <c r="BQ123" s="31">
        <v>38.534999999999997</v>
      </c>
      <c r="BR123" s="31">
        <v>43.534999999999997</v>
      </c>
      <c r="BS123" s="32">
        <v>0</v>
      </c>
      <c r="BT123" s="32">
        <v>0</v>
      </c>
      <c r="BU123" s="33">
        <v>0</v>
      </c>
      <c r="BV123" s="33">
        <v>75.977777000000003</v>
      </c>
      <c r="BW123" s="33">
        <v>0</v>
      </c>
      <c r="BX123" s="33">
        <v>75.977777777777774</v>
      </c>
      <c r="BY123" s="33">
        <v>78.3</v>
      </c>
      <c r="BZ123" s="33">
        <v>83.272222222222226</v>
      </c>
      <c r="CA123" s="33">
        <v>80.983333333333334</v>
      </c>
      <c r="CB123" s="33">
        <v>78.794444444444451</v>
      </c>
      <c r="CC123" s="33">
        <v>75.416666666666671</v>
      </c>
      <c r="CD123" s="33">
        <v>66.7</v>
      </c>
      <c r="CE123" s="33">
        <v>63.272222222222226</v>
      </c>
      <c r="CF123" s="33">
        <v>59.338888888888889</v>
      </c>
      <c r="CG123" s="33">
        <v>0</v>
      </c>
      <c r="CH123" s="33">
        <v>0</v>
      </c>
      <c r="CI123" s="33">
        <v>0</v>
      </c>
      <c r="CJ123" s="33">
        <v>0</v>
      </c>
      <c r="CK123" s="33">
        <v>463.4666666666667</v>
      </c>
      <c r="CL123" s="33">
        <v>122.61111111111111</v>
      </c>
      <c r="CM123" s="33">
        <v>0</v>
      </c>
      <c r="CN123" s="33">
        <v>662.05555555555554</v>
      </c>
      <c r="CO123" s="33">
        <v>586.07777777777778</v>
      </c>
      <c r="CP123" s="33">
        <v>662.05555555555554</v>
      </c>
      <c r="CQ123" s="33">
        <v>90.9722222222222</v>
      </c>
      <c r="CR123" s="33">
        <v>5</v>
      </c>
      <c r="CS123" s="33">
        <v>95.9722222222222</v>
      </c>
      <c r="CT123" s="33">
        <v>0</v>
      </c>
      <c r="CU123" s="33">
        <v>1</v>
      </c>
      <c r="CV123" s="32">
        <v>78</v>
      </c>
      <c r="CW123" s="32">
        <v>79</v>
      </c>
      <c r="CX123" s="32">
        <v>75</v>
      </c>
      <c r="CY123" s="32">
        <v>80</v>
      </c>
      <c r="CZ123" s="32">
        <v>83</v>
      </c>
      <c r="DA123" s="32">
        <v>84</v>
      </c>
      <c r="DB123" s="32">
        <v>74</v>
      </c>
      <c r="DC123" s="32">
        <v>82</v>
      </c>
      <c r="DD123" s="32">
        <v>64</v>
      </c>
      <c r="DE123" s="32">
        <v>62</v>
      </c>
      <c r="DF123" s="32">
        <v>0</v>
      </c>
      <c r="DG123" s="32">
        <v>0</v>
      </c>
      <c r="DH123" s="32">
        <v>0</v>
      </c>
      <c r="DI123" s="32">
        <v>0</v>
      </c>
      <c r="DJ123" s="32">
        <v>478</v>
      </c>
      <c r="DK123" s="32">
        <v>126</v>
      </c>
      <c r="DL123" s="32">
        <v>0</v>
      </c>
      <c r="DM123" s="32">
        <v>683</v>
      </c>
      <c r="DN123" s="32">
        <v>604</v>
      </c>
      <c r="DO123" s="32">
        <v>683</v>
      </c>
      <c r="DP123" s="32">
        <v>0</v>
      </c>
      <c r="DQ123" s="32">
        <v>159</v>
      </c>
      <c r="DR123" s="32">
        <v>95</v>
      </c>
      <c r="DS123" s="32">
        <v>4</v>
      </c>
      <c r="DT123" s="32">
        <v>99</v>
      </c>
      <c r="DU123" s="32">
        <v>21</v>
      </c>
      <c r="DV123" s="33">
        <v>43.445</v>
      </c>
      <c r="DW123" s="33">
        <v>40.445</v>
      </c>
      <c r="DX123" s="33">
        <v>31.375</v>
      </c>
      <c r="DY123" s="33">
        <v>7.97</v>
      </c>
      <c r="DZ123" s="33">
        <v>0</v>
      </c>
      <c r="EA123" s="33">
        <v>43.445</v>
      </c>
      <c r="EB123" s="34">
        <v>6.761137629276065E-2</v>
      </c>
      <c r="EC123" s="32"/>
      <c r="ED123" s="32">
        <v>77</v>
      </c>
      <c r="EE123" s="32">
        <v>603</v>
      </c>
      <c r="EF123" s="32">
        <v>477</v>
      </c>
      <c r="EG123" s="32">
        <v>126</v>
      </c>
      <c r="EH123" s="32">
        <v>0</v>
      </c>
      <c r="EI123" s="32">
        <v>680</v>
      </c>
      <c r="EJ123" s="32">
        <v>0</v>
      </c>
      <c r="EK123" s="32">
        <v>100</v>
      </c>
      <c r="EL123" s="32">
        <v>100</v>
      </c>
      <c r="EM123" s="32">
        <v>96</v>
      </c>
      <c r="EN123" s="32">
        <v>4</v>
      </c>
      <c r="EO123" s="32">
        <v>1</v>
      </c>
      <c r="EP123" s="33">
        <v>18.28</v>
      </c>
      <c r="EQ123" s="33">
        <v>0.5</v>
      </c>
      <c r="ER123" s="33">
        <v>4.5</v>
      </c>
      <c r="ES123" s="33">
        <v>0</v>
      </c>
      <c r="ET123" s="33">
        <v>5.86</v>
      </c>
      <c r="EU123" s="33">
        <v>29.14</v>
      </c>
    </row>
    <row r="124" spans="1:151" ht="27.6" x14ac:dyDescent="0.3">
      <c r="A124" s="25" t="s">
        <v>100</v>
      </c>
      <c r="B124" s="26" t="s">
        <v>336</v>
      </c>
      <c r="C124" s="27" t="s">
        <v>721</v>
      </c>
      <c r="D124" s="27" t="s">
        <v>272</v>
      </c>
      <c r="E124" s="26" t="s">
        <v>504</v>
      </c>
      <c r="F124" s="26" t="s">
        <v>504</v>
      </c>
      <c r="G124" s="28">
        <v>103.31111111111112</v>
      </c>
      <c r="H124" s="28">
        <v>1.7166666666666666</v>
      </c>
      <c r="I124" s="29">
        <v>157</v>
      </c>
      <c r="J124" s="29">
        <v>770</v>
      </c>
      <c r="K124" s="29">
        <v>156</v>
      </c>
      <c r="L124" s="29">
        <v>0</v>
      </c>
      <c r="M124" s="29">
        <v>1083</v>
      </c>
      <c r="N124" s="29">
        <v>926</v>
      </c>
      <c r="O124" s="29">
        <v>1083</v>
      </c>
      <c r="P124" s="29">
        <v>3</v>
      </c>
      <c r="Q124" s="27">
        <v>153.10555555555555</v>
      </c>
      <c r="R124" s="27">
        <v>155.22222222222223</v>
      </c>
      <c r="S124" s="27">
        <v>145.65</v>
      </c>
      <c r="T124" s="27">
        <v>124.6</v>
      </c>
      <c r="U124" s="27">
        <v>129.79444444444445</v>
      </c>
      <c r="V124" s="27">
        <v>99.888888888888886</v>
      </c>
      <c r="W124" s="27">
        <v>100.57777777777778</v>
      </c>
      <c r="X124" s="27">
        <v>74.477777777777774</v>
      </c>
      <c r="Y124" s="27">
        <v>76.333333333333329</v>
      </c>
      <c r="Z124" s="27">
        <v>0</v>
      </c>
      <c r="AA124" s="27">
        <v>0</v>
      </c>
      <c r="AB124" s="27">
        <v>0</v>
      </c>
      <c r="AC124" s="27">
        <v>0</v>
      </c>
      <c r="AD124" s="27">
        <v>755.73333333333346</v>
      </c>
      <c r="AE124" s="27">
        <v>150.8111111111111</v>
      </c>
      <c r="AF124" s="27">
        <v>0</v>
      </c>
      <c r="AG124" s="27">
        <v>1059.6500000000001</v>
      </c>
      <c r="AH124" s="27">
        <v>906.54444444444459</v>
      </c>
      <c r="AI124" s="27">
        <v>1059.6500000000001</v>
      </c>
      <c r="AJ124" s="28">
        <v>144.12777777777777</v>
      </c>
      <c r="AK124" s="28">
        <v>1.6333333333333333</v>
      </c>
      <c r="AL124" s="28">
        <v>145.76111111111109</v>
      </c>
      <c r="AM124" s="29">
        <v>154</v>
      </c>
      <c r="AN124" s="35">
        <v>161</v>
      </c>
      <c r="AO124" s="27">
        <v>149</v>
      </c>
      <c r="AP124" s="27">
        <v>146</v>
      </c>
      <c r="AQ124" s="27">
        <v>135</v>
      </c>
      <c r="AR124" s="27">
        <v>129</v>
      </c>
      <c r="AS124" s="27">
        <v>99</v>
      </c>
      <c r="AT124" s="27">
        <v>77</v>
      </c>
      <c r="AU124" s="27">
        <v>66</v>
      </c>
      <c r="AV124" s="27">
        <v>0</v>
      </c>
      <c r="AW124" s="27">
        <v>0</v>
      </c>
      <c r="AX124" s="27">
        <v>0</v>
      </c>
      <c r="AY124" s="27">
        <v>0</v>
      </c>
      <c r="AZ124" s="27">
        <v>819</v>
      </c>
      <c r="BA124" s="27">
        <v>143</v>
      </c>
      <c r="BB124" s="27">
        <v>0</v>
      </c>
      <c r="BC124" s="27">
        <v>1116</v>
      </c>
      <c r="BD124" s="27">
        <v>962</v>
      </c>
      <c r="BE124" s="27">
        <v>1116</v>
      </c>
      <c r="BF124" s="27">
        <v>150</v>
      </c>
      <c r="BG124" s="27">
        <v>4</v>
      </c>
      <c r="BH124" s="27">
        <v>0</v>
      </c>
      <c r="BI124" s="27">
        <v>374</v>
      </c>
      <c r="BJ124" s="27">
        <v>140</v>
      </c>
      <c r="BK124" s="29">
        <v>2</v>
      </c>
      <c r="BL124" s="29">
        <v>142</v>
      </c>
      <c r="BM124" s="29">
        <v>235</v>
      </c>
      <c r="BN124" s="30">
        <v>6.3673709956557079E-2</v>
      </c>
      <c r="BO124" s="31">
        <v>55.984000000000009</v>
      </c>
      <c r="BP124" s="31">
        <v>52.25</v>
      </c>
      <c r="BQ124" s="31">
        <v>51.25</v>
      </c>
      <c r="BR124" s="31">
        <v>56.984000000000002</v>
      </c>
      <c r="BS124" s="32">
        <v>0</v>
      </c>
      <c r="BT124" s="32">
        <v>0</v>
      </c>
      <c r="BU124" s="33">
        <v>0</v>
      </c>
      <c r="BV124" s="33">
        <v>3.3611110000000002</v>
      </c>
      <c r="BW124" s="33">
        <v>147.5</v>
      </c>
      <c r="BX124" s="33">
        <v>150.86111111111111</v>
      </c>
      <c r="BY124" s="33">
        <v>154.3388888888889</v>
      </c>
      <c r="BZ124" s="33">
        <v>147.81666666666666</v>
      </c>
      <c r="CA124" s="33">
        <v>144.25555555555556</v>
      </c>
      <c r="CB124" s="33">
        <v>129.71111111111111</v>
      </c>
      <c r="CC124" s="33">
        <v>123.22222222222223</v>
      </c>
      <c r="CD124" s="33">
        <v>99.011111111111106</v>
      </c>
      <c r="CE124" s="33">
        <v>76.738888888888894</v>
      </c>
      <c r="CF124" s="33">
        <v>66.577777777777783</v>
      </c>
      <c r="CG124" s="33">
        <v>0</v>
      </c>
      <c r="CH124" s="33">
        <v>0</v>
      </c>
      <c r="CI124" s="33">
        <v>0</v>
      </c>
      <c r="CJ124" s="33">
        <v>0</v>
      </c>
      <c r="CK124" s="33">
        <v>798.3555555555555</v>
      </c>
      <c r="CL124" s="33">
        <v>143.31666666666666</v>
      </c>
      <c r="CM124" s="33">
        <v>0</v>
      </c>
      <c r="CN124" s="33">
        <v>1092.5333333333333</v>
      </c>
      <c r="CO124" s="33">
        <v>941.67222222222222</v>
      </c>
      <c r="CP124" s="33">
        <v>1092.5333333333333</v>
      </c>
      <c r="CQ124" s="33">
        <v>154.18888888888901</v>
      </c>
      <c r="CR124" s="33">
        <v>4.2333333333333298</v>
      </c>
      <c r="CS124" s="33">
        <v>158.42222222222233</v>
      </c>
      <c r="CT124" s="33">
        <v>0</v>
      </c>
      <c r="CU124" s="33">
        <v>158</v>
      </c>
      <c r="CV124" s="32">
        <v>0</v>
      </c>
      <c r="CW124" s="32">
        <v>158</v>
      </c>
      <c r="CX124" s="32">
        <v>153</v>
      </c>
      <c r="CY124" s="32">
        <v>144</v>
      </c>
      <c r="CZ124" s="32">
        <v>150</v>
      </c>
      <c r="DA124" s="32">
        <v>134</v>
      </c>
      <c r="DB124" s="32">
        <v>133</v>
      </c>
      <c r="DC124" s="32">
        <v>118</v>
      </c>
      <c r="DD124" s="32">
        <v>74</v>
      </c>
      <c r="DE124" s="32">
        <v>68</v>
      </c>
      <c r="DF124" s="32">
        <v>0</v>
      </c>
      <c r="DG124" s="32">
        <v>0</v>
      </c>
      <c r="DH124" s="32">
        <v>0</v>
      </c>
      <c r="DI124" s="32">
        <v>0</v>
      </c>
      <c r="DJ124" s="32">
        <v>832</v>
      </c>
      <c r="DK124" s="32">
        <v>142</v>
      </c>
      <c r="DL124" s="32">
        <v>0</v>
      </c>
      <c r="DM124" s="32">
        <v>1132</v>
      </c>
      <c r="DN124" s="32">
        <v>974</v>
      </c>
      <c r="DO124" s="32">
        <v>1132</v>
      </c>
      <c r="DP124" s="32">
        <v>0</v>
      </c>
      <c r="DQ124" s="32">
        <v>539</v>
      </c>
      <c r="DR124" s="32">
        <v>150</v>
      </c>
      <c r="DS124" s="32">
        <v>6</v>
      </c>
      <c r="DT124" s="32">
        <v>156</v>
      </c>
      <c r="DU124" s="32">
        <v>240</v>
      </c>
      <c r="DV124" s="33">
        <v>66.19</v>
      </c>
      <c r="DW124" s="33">
        <v>63.190000000000005</v>
      </c>
      <c r="DX124" s="33">
        <v>50.185000000000002</v>
      </c>
      <c r="DY124" s="33">
        <v>9.91</v>
      </c>
      <c r="DZ124" s="33">
        <v>0</v>
      </c>
      <c r="EA124" s="33">
        <v>68.19</v>
      </c>
      <c r="EB124" s="34">
        <v>6.4815607559614463E-2</v>
      </c>
      <c r="EC124" s="32"/>
      <c r="ED124" s="32">
        <v>146</v>
      </c>
      <c r="EE124" s="32">
        <v>975</v>
      </c>
      <c r="EF124" s="32">
        <v>829</v>
      </c>
      <c r="EG124" s="32">
        <v>146</v>
      </c>
      <c r="EH124" s="32">
        <v>0</v>
      </c>
      <c r="EI124" s="32">
        <v>1121</v>
      </c>
      <c r="EJ124" s="32">
        <v>0</v>
      </c>
      <c r="EK124" s="32">
        <v>168</v>
      </c>
      <c r="EL124" s="32">
        <v>168</v>
      </c>
      <c r="EM124" s="32">
        <v>161</v>
      </c>
      <c r="EN124" s="32">
        <v>7</v>
      </c>
      <c r="EO124" s="32">
        <v>4</v>
      </c>
      <c r="EP124" s="33">
        <v>23.32</v>
      </c>
      <c r="EQ124" s="33">
        <v>1.2150000000000001</v>
      </c>
      <c r="ER124" s="33">
        <v>5.4809999999999999</v>
      </c>
      <c r="ES124" s="33">
        <v>1.109</v>
      </c>
      <c r="ET124" s="33">
        <v>8.3369999999999997</v>
      </c>
      <c r="EU124" s="33">
        <v>39.462000000000003</v>
      </c>
    </row>
    <row r="125" spans="1:151" ht="55.2" x14ac:dyDescent="0.3">
      <c r="A125" s="25" t="s">
        <v>118</v>
      </c>
      <c r="B125" s="26" t="s">
        <v>353</v>
      </c>
      <c r="C125" s="27" t="s">
        <v>722</v>
      </c>
      <c r="D125" s="27" t="s">
        <v>272</v>
      </c>
      <c r="E125" s="26" t="s">
        <v>503</v>
      </c>
      <c r="F125" s="26" t="s">
        <v>503</v>
      </c>
      <c r="G125" s="28">
        <v>14.511111111111111</v>
      </c>
      <c r="H125" s="28">
        <v>0</v>
      </c>
      <c r="I125" s="29">
        <v>0</v>
      </c>
      <c r="J125" s="29">
        <v>0</v>
      </c>
      <c r="K125" s="29">
        <v>0</v>
      </c>
      <c r="L125" s="29">
        <v>202</v>
      </c>
      <c r="M125" s="29">
        <v>202</v>
      </c>
      <c r="N125" s="29">
        <v>202</v>
      </c>
      <c r="O125" s="29">
        <v>0</v>
      </c>
      <c r="P125" s="29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27">
        <v>52.072222222222223</v>
      </c>
      <c r="AA125" s="27">
        <v>52.427777777777777</v>
      </c>
      <c r="AB125" s="27">
        <v>46.18888888888889</v>
      </c>
      <c r="AC125" s="27">
        <v>44.35</v>
      </c>
      <c r="AD125" s="27">
        <v>0</v>
      </c>
      <c r="AE125" s="27">
        <v>0</v>
      </c>
      <c r="AF125" s="27">
        <v>195.03888888888889</v>
      </c>
      <c r="AG125" s="27">
        <v>0</v>
      </c>
      <c r="AH125" s="27">
        <v>195.03888888888889</v>
      </c>
      <c r="AI125" s="27">
        <v>195.03888888888889</v>
      </c>
      <c r="AJ125" s="28">
        <v>19.005555555555556</v>
      </c>
      <c r="AK125" s="28">
        <v>0</v>
      </c>
      <c r="AL125" s="28">
        <v>19.005555555555556</v>
      </c>
      <c r="AM125" s="29">
        <v>0</v>
      </c>
      <c r="AN125" s="35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  <c r="AT125" s="27">
        <v>0</v>
      </c>
      <c r="AU125" s="27">
        <v>0</v>
      </c>
      <c r="AV125" s="27">
        <v>37</v>
      </c>
      <c r="AW125" s="27">
        <v>42</v>
      </c>
      <c r="AX125" s="27">
        <v>47</v>
      </c>
      <c r="AY125" s="27">
        <v>38</v>
      </c>
      <c r="AZ125" s="27">
        <v>0</v>
      </c>
      <c r="BA125" s="27">
        <v>0</v>
      </c>
      <c r="BB125" s="27">
        <v>164</v>
      </c>
      <c r="BC125" s="27">
        <v>0</v>
      </c>
      <c r="BD125" s="27">
        <v>164</v>
      </c>
      <c r="BE125" s="27">
        <v>164</v>
      </c>
      <c r="BF125" s="27">
        <v>0</v>
      </c>
      <c r="BG125" s="27">
        <v>0</v>
      </c>
      <c r="BH125" s="27">
        <v>0</v>
      </c>
      <c r="BI125" s="27">
        <v>22</v>
      </c>
      <c r="BJ125" s="27">
        <v>13</v>
      </c>
      <c r="BK125" s="29">
        <v>0</v>
      </c>
      <c r="BL125" s="29">
        <v>13</v>
      </c>
      <c r="BM125" s="29">
        <v>0</v>
      </c>
      <c r="BN125" s="30">
        <v>8.5499999999999965E-2</v>
      </c>
      <c r="BO125" s="31">
        <v>15.713000000000001</v>
      </c>
      <c r="BP125" s="31">
        <v>13.879999999999999</v>
      </c>
      <c r="BQ125" s="31">
        <v>13.879999999999999</v>
      </c>
      <c r="BR125" s="31">
        <v>15.713000000000001</v>
      </c>
      <c r="BS125" s="32">
        <v>0</v>
      </c>
      <c r="BT125" s="32">
        <v>0</v>
      </c>
      <c r="BU125" s="33">
        <v>0</v>
      </c>
      <c r="BV125" s="33">
        <v>0</v>
      </c>
      <c r="BW125" s="33">
        <v>0</v>
      </c>
      <c r="BX125" s="33">
        <v>0</v>
      </c>
      <c r="BY125" s="33">
        <v>0</v>
      </c>
      <c r="BZ125" s="33">
        <v>0</v>
      </c>
      <c r="CA125" s="33">
        <v>0</v>
      </c>
      <c r="CB125" s="33">
        <v>0</v>
      </c>
      <c r="CC125" s="33">
        <v>0</v>
      </c>
      <c r="CD125" s="33">
        <v>0</v>
      </c>
      <c r="CE125" s="33">
        <v>0</v>
      </c>
      <c r="CF125" s="33">
        <v>0</v>
      </c>
      <c r="CG125" s="33">
        <v>34.805555555555557</v>
      </c>
      <c r="CH125" s="33">
        <v>41.844444444444441</v>
      </c>
      <c r="CI125" s="33">
        <v>42.094444444444441</v>
      </c>
      <c r="CJ125" s="33">
        <v>35.700000000000003</v>
      </c>
      <c r="CK125" s="33">
        <v>0</v>
      </c>
      <c r="CL125" s="33">
        <v>0</v>
      </c>
      <c r="CM125" s="33">
        <v>154.44444444444446</v>
      </c>
      <c r="CN125" s="33">
        <v>0</v>
      </c>
      <c r="CO125" s="33">
        <v>154.44444444444446</v>
      </c>
      <c r="CP125" s="33">
        <v>154.44444444444446</v>
      </c>
      <c r="CQ125" s="33">
        <v>13.3555555555556</v>
      </c>
      <c r="CR125" s="33">
        <v>0</v>
      </c>
      <c r="CS125" s="33">
        <v>13.3555555555556</v>
      </c>
      <c r="CT125" s="33">
        <v>0</v>
      </c>
      <c r="CU125" s="33">
        <v>0</v>
      </c>
      <c r="CV125" s="32">
        <v>0</v>
      </c>
      <c r="CW125" s="32">
        <v>0</v>
      </c>
      <c r="CX125" s="32">
        <v>0</v>
      </c>
      <c r="CY125" s="32">
        <v>0</v>
      </c>
      <c r="CZ125" s="32">
        <v>0</v>
      </c>
      <c r="DA125" s="32">
        <v>0</v>
      </c>
      <c r="DB125" s="32">
        <v>0</v>
      </c>
      <c r="DC125" s="32">
        <v>0</v>
      </c>
      <c r="DD125" s="32">
        <v>0</v>
      </c>
      <c r="DE125" s="32">
        <v>0</v>
      </c>
      <c r="DF125" s="32">
        <v>0</v>
      </c>
      <c r="DG125" s="32">
        <v>0</v>
      </c>
      <c r="DH125" s="32">
        <v>0</v>
      </c>
      <c r="DI125" s="32">
        <v>0</v>
      </c>
      <c r="DJ125" s="32">
        <v>0</v>
      </c>
      <c r="DK125" s="32">
        <v>0</v>
      </c>
      <c r="DL125" s="32">
        <v>0</v>
      </c>
      <c r="DM125" s="32">
        <v>0</v>
      </c>
      <c r="DN125" s="32">
        <v>0</v>
      </c>
      <c r="DO125" s="32">
        <v>0</v>
      </c>
      <c r="DP125" s="32">
        <v>0</v>
      </c>
      <c r="DQ125" s="32">
        <v>0</v>
      </c>
      <c r="DR125" s="32">
        <v>0</v>
      </c>
      <c r="DS125" s="32">
        <v>0</v>
      </c>
      <c r="DT125" s="32">
        <v>0</v>
      </c>
      <c r="DU125" s="32">
        <v>0</v>
      </c>
      <c r="DV125" s="33">
        <v>0</v>
      </c>
      <c r="DW125" s="33">
        <v>0</v>
      </c>
      <c r="DX125" s="33">
        <v>0</v>
      </c>
      <c r="DY125" s="33">
        <v>0</v>
      </c>
      <c r="DZ125" s="33">
        <v>0</v>
      </c>
      <c r="EA125" s="33">
        <v>0</v>
      </c>
      <c r="EB125" s="34">
        <v>9.6322685961351795E-2</v>
      </c>
      <c r="EC125" s="32"/>
      <c r="ED125" s="32">
        <v>0</v>
      </c>
      <c r="EE125" s="32">
        <v>0</v>
      </c>
      <c r="EF125" s="32">
        <v>0</v>
      </c>
      <c r="EG125" s="32">
        <v>0</v>
      </c>
      <c r="EH125" s="32">
        <v>0</v>
      </c>
      <c r="EI125" s="32">
        <v>0</v>
      </c>
      <c r="EJ125" s="32">
        <v>0</v>
      </c>
      <c r="EK125" s="32">
        <v>0</v>
      </c>
      <c r="EL125" s="32">
        <v>0</v>
      </c>
      <c r="EM125" s="32">
        <v>0</v>
      </c>
      <c r="EN125" s="32">
        <v>0</v>
      </c>
      <c r="EO125" s="32">
        <v>0</v>
      </c>
      <c r="EP125" s="33">
        <v>2.25</v>
      </c>
      <c r="EQ125" s="33">
        <v>0</v>
      </c>
      <c r="ER125" s="33">
        <v>3</v>
      </c>
      <c r="ES125" s="33">
        <v>0.75</v>
      </c>
      <c r="ET125" s="33">
        <v>1.5</v>
      </c>
      <c r="EU125" s="33">
        <v>7.5</v>
      </c>
    </row>
    <row r="126" spans="1:151" ht="41.4" x14ac:dyDescent="0.3">
      <c r="A126" s="25" t="s">
        <v>133</v>
      </c>
      <c r="B126" s="26" t="s">
        <v>366</v>
      </c>
      <c r="C126" s="27" t="s">
        <v>134</v>
      </c>
      <c r="D126" s="27" t="s">
        <v>272</v>
      </c>
      <c r="E126" s="26" t="s">
        <v>504</v>
      </c>
      <c r="F126" s="26" t="s">
        <v>504</v>
      </c>
      <c r="G126" s="28">
        <v>101.52777777777777</v>
      </c>
      <c r="H126" s="28">
        <v>23.144444444444446</v>
      </c>
      <c r="I126" s="29">
        <v>66</v>
      </c>
      <c r="J126" s="29">
        <v>496</v>
      </c>
      <c r="K126" s="29">
        <v>128</v>
      </c>
      <c r="L126" s="29">
        <v>0</v>
      </c>
      <c r="M126" s="29">
        <v>690</v>
      </c>
      <c r="N126" s="29">
        <v>624</v>
      </c>
      <c r="O126" s="29">
        <v>690</v>
      </c>
      <c r="P126" s="29">
        <v>22</v>
      </c>
      <c r="Q126" s="27">
        <v>68.13333333333334</v>
      </c>
      <c r="R126" s="27">
        <v>74.105555555555554</v>
      </c>
      <c r="S126" s="27">
        <v>76.611111111111114</v>
      </c>
      <c r="T126" s="27">
        <v>91.261111111111106</v>
      </c>
      <c r="U126" s="27">
        <v>78.88333333333334</v>
      </c>
      <c r="V126" s="27">
        <v>71.24444444444444</v>
      </c>
      <c r="W126" s="27">
        <v>80.205555555555549</v>
      </c>
      <c r="X126" s="27">
        <v>69.516666666666666</v>
      </c>
      <c r="Y126" s="27">
        <v>56.105555555555554</v>
      </c>
      <c r="Z126" s="27">
        <v>0</v>
      </c>
      <c r="AA126" s="27">
        <v>0</v>
      </c>
      <c r="AB126" s="27">
        <v>0</v>
      </c>
      <c r="AC126" s="27">
        <v>0</v>
      </c>
      <c r="AD126" s="27">
        <v>472.31111111111102</v>
      </c>
      <c r="AE126" s="27">
        <v>125.62222222222222</v>
      </c>
      <c r="AF126" s="27">
        <v>0</v>
      </c>
      <c r="AG126" s="27">
        <v>666.06666666666661</v>
      </c>
      <c r="AH126" s="27">
        <v>597.93333333333317</v>
      </c>
      <c r="AI126" s="27">
        <v>666.06666666666661</v>
      </c>
      <c r="AJ126" s="28">
        <v>109.84444444444445</v>
      </c>
      <c r="AK126" s="28">
        <v>21.06111111111111</v>
      </c>
      <c r="AL126" s="28">
        <v>130.90555555555557</v>
      </c>
      <c r="AM126" s="29">
        <v>59</v>
      </c>
      <c r="AN126" s="35">
        <v>68</v>
      </c>
      <c r="AO126" s="27">
        <v>79</v>
      </c>
      <c r="AP126" s="27">
        <v>77</v>
      </c>
      <c r="AQ126" s="27">
        <v>90</v>
      </c>
      <c r="AR126" s="27">
        <v>88</v>
      </c>
      <c r="AS126" s="27">
        <v>73</v>
      </c>
      <c r="AT126" s="27">
        <v>78</v>
      </c>
      <c r="AU126" s="27">
        <v>65</v>
      </c>
      <c r="AV126" s="27">
        <v>0</v>
      </c>
      <c r="AW126" s="27">
        <v>0</v>
      </c>
      <c r="AX126" s="27">
        <v>0</v>
      </c>
      <c r="AY126" s="27">
        <v>0</v>
      </c>
      <c r="AZ126" s="27">
        <v>475</v>
      </c>
      <c r="BA126" s="27">
        <v>143</v>
      </c>
      <c r="BB126" s="27">
        <v>0</v>
      </c>
      <c r="BC126" s="27">
        <v>677</v>
      </c>
      <c r="BD126" s="27">
        <v>618</v>
      </c>
      <c r="BE126" s="27">
        <v>677</v>
      </c>
      <c r="BF126" s="27">
        <v>56</v>
      </c>
      <c r="BG126" s="27">
        <v>3</v>
      </c>
      <c r="BH126" s="27">
        <v>0</v>
      </c>
      <c r="BI126" s="27">
        <v>349</v>
      </c>
      <c r="BJ126" s="27">
        <v>106</v>
      </c>
      <c r="BK126" s="29">
        <v>19</v>
      </c>
      <c r="BL126" s="29">
        <v>125</v>
      </c>
      <c r="BM126" s="29">
        <v>27</v>
      </c>
      <c r="BN126" s="30">
        <v>7.4278160486518752E-2</v>
      </c>
      <c r="BO126" s="31">
        <v>38.92</v>
      </c>
      <c r="BP126" s="31">
        <v>38.92</v>
      </c>
      <c r="BQ126" s="31">
        <v>36.69</v>
      </c>
      <c r="BR126" s="31">
        <v>39.669999999999987</v>
      </c>
      <c r="BS126" s="32">
        <v>0</v>
      </c>
      <c r="BT126" s="32">
        <v>0</v>
      </c>
      <c r="BU126" s="33">
        <v>0</v>
      </c>
      <c r="BV126" s="33">
        <v>2.7277770000000001</v>
      </c>
      <c r="BW126" s="33">
        <v>56.127777000000002</v>
      </c>
      <c r="BX126" s="33">
        <v>58.855555555555554</v>
      </c>
      <c r="BY126" s="33">
        <v>67.927777777777777</v>
      </c>
      <c r="BZ126" s="33">
        <v>79.227777777777774</v>
      </c>
      <c r="CA126" s="33">
        <v>75.911111111111111</v>
      </c>
      <c r="CB126" s="33">
        <v>91.222222222222229</v>
      </c>
      <c r="CC126" s="33">
        <v>85.62777777777778</v>
      </c>
      <c r="CD126" s="33">
        <v>72.7</v>
      </c>
      <c r="CE126" s="33">
        <v>73.061111111111117</v>
      </c>
      <c r="CF126" s="33">
        <v>64.266666666666666</v>
      </c>
      <c r="CG126" s="33">
        <v>0</v>
      </c>
      <c r="CH126" s="33">
        <v>0</v>
      </c>
      <c r="CI126" s="33">
        <v>0</v>
      </c>
      <c r="CJ126" s="33">
        <v>0</v>
      </c>
      <c r="CK126" s="33">
        <v>472.61666666666667</v>
      </c>
      <c r="CL126" s="33">
        <v>137.32777777777778</v>
      </c>
      <c r="CM126" s="33">
        <v>0</v>
      </c>
      <c r="CN126" s="33">
        <v>668.80000000000007</v>
      </c>
      <c r="CO126" s="33">
        <v>609.94444444444446</v>
      </c>
      <c r="CP126" s="33">
        <v>668.80000000000007</v>
      </c>
      <c r="CQ126" s="33">
        <v>105.522222222222</v>
      </c>
      <c r="CR126" s="33">
        <v>18.133333333333301</v>
      </c>
      <c r="CS126" s="33">
        <v>123.6555555555553</v>
      </c>
      <c r="CT126" s="33">
        <v>0</v>
      </c>
      <c r="CU126" s="33">
        <v>107</v>
      </c>
      <c r="CV126" s="32">
        <v>2</v>
      </c>
      <c r="CW126" s="32">
        <v>109</v>
      </c>
      <c r="CX126" s="32">
        <v>72</v>
      </c>
      <c r="CY126" s="32">
        <v>77</v>
      </c>
      <c r="CZ126" s="32">
        <v>87</v>
      </c>
      <c r="DA126" s="32">
        <v>82</v>
      </c>
      <c r="DB126" s="32">
        <v>92</v>
      </c>
      <c r="DC126" s="32">
        <v>85</v>
      </c>
      <c r="DD126" s="32">
        <v>73</v>
      </c>
      <c r="DE126" s="32">
        <v>60</v>
      </c>
      <c r="DF126" s="32">
        <v>0</v>
      </c>
      <c r="DG126" s="32">
        <v>0</v>
      </c>
      <c r="DH126" s="32">
        <v>0</v>
      </c>
      <c r="DI126" s="32">
        <v>0</v>
      </c>
      <c r="DJ126" s="32">
        <v>495</v>
      </c>
      <c r="DK126" s="32">
        <v>133</v>
      </c>
      <c r="DL126" s="32">
        <v>0</v>
      </c>
      <c r="DM126" s="32">
        <v>737</v>
      </c>
      <c r="DN126" s="32">
        <v>628</v>
      </c>
      <c r="DO126" s="32">
        <v>737</v>
      </c>
      <c r="DP126" s="32">
        <v>0</v>
      </c>
      <c r="DQ126" s="32">
        <v>399</v>
      </c>
      <c r="DR126" s="32">
        <v>122</v>
      </c>
      <c r="DS126" s="32">
        <v>17</v>
      </c>
      <c r="DT126" s="32">
        <v>139</v>
      </c>
      <c r="DU126" s="32">
        <v>29</v>
      </c>
      <c r="DV126" s="33">
        <v>38.71</v>
      </c>
      <c r="DW126" s="33">
        <v>37.71</v>
      </c>
      <c r="DX126" s="33">
        <v>23.799999999999997</v>
      </c>
      <c r="DY126" s="33">
        <v>7.9500000000000011</v>
      </c>
      <c r="DZ126" s="33">
        <v>0</v>
      </c>
      <c r="EA126" s="33">
        <v>39.46</v>
      </c>
      <c r="EB126" s="34">
        <v>7.9935608246341383E-2</v>
      </c>
      <c r="EC126" s="32"/>
      <c r="ED126" s="32">
        <v>113</v>
      </c>
      <c r="EE126" s="32">
        <v>1186</v>
      </c>
      <c r="EF126" s="32">
        <v>946</v>
      </c>
      <c r="EG126" s="32">
        <v>240</v>
      </c>
      <c r="EH126" s="32">
        <v>0</v>
      </c>
      <c r="EI126" s="32">
        <v>1299</v>
      </c>
      <c r="EJ126" s="32">
        <v>0</v>
      </c>
      <c r="EK126" s="32">
        <v>149</v>
      </c>
      <c r="EL126" s="32">
        <v>149</v>
      </c>
      <c r="EM126" s="32">
        <v>131</v>
      </c>
      <c r="EN126" s="32">
        <v>18</v>
      </c>
      <c r="EO126" s="32">
        <v>31</v>
      </c>
      <c r="EP126" s="33">
        <v>23.587</v>
      </c>
      <c r="EQ126" s="33">
        <v>0</v>
      </c>
      <c r="ER126" s="33">
        <v>2.5</v>
      </c>
      <c r="ES126" s="33">
        <v>2.0779999999999998</v>
      </c>
      <c r="ET126" s="33">
        <v>7.0019999999999998</v>
      </c>
      <c r="EU126" s="33">
        <v>35.167000000000002</v>
      </c>
    </row>
    <row r="127" spans="1:151" ht="27.6" x14ac:dyDescent="0.3">
      <c r="A127" s="25" t="s">
        <v>151</v>
      </c>
      <c r="B127" s="26" t="s">
        <v>380</v>
      </c>
      <c r="C127" s="27" t="s">
        <v>152</v>
      </c>
      <c r="D127" s="27" t="s">
        <v>272</v>
      </c>
      <c r="E127" s="26" t="s">
        <v>504</v>
      </c>
      <c r="F127" s="26" t="s">
        <v>504</v>
      </c>
      <c r="G127" s="28">
        <v>158.63333333333333</v>
      </c>
      <c r="H127" s="28">
        <v>24.861111111111111</v>
      </c>
      <c r="I127" s="29">
        <v>162</v>
      </c>
      <c r="J127" s="29">
        <v>895</v>
      </c>
      <c r="K127" s="29">
        <v>341</v>
      </c>
      <c r="L127" s="29">
        <v>0</v>
      </c>
      <c r="M127" s="29">
        <v>1398</v>
      </c>
      <c r="N127" s="29">
        <v>1236</v>
      </c>
      <c r="O127" s="29">
        <v>1398</v>
      </c>
      <c r="P127" s="29">
        <v>21</v>
      </c>
      <c r="Q127" s="27">
        <v>157.77222222222221</v>
      </c>
      <c r="R127" s="27">
        <v>149.25</v>
      </c>
      <c r="S127" s="27">
        <v>152.65555555555557</v>
      </c>
      <c r="T127" s="27">
        <v>136.8111111111111</v>
      </c>
      <c r="U127" s="27">
        <v>136.36666666666667</v>
      </c>
      <c r="V127" s="27">
        <v>136.8388888888889</v>
      </c>
      <c r="W127" s="27">
        <v>161.06666666666666</v>
      </c>
      <c r="X127" s="27">
        <v>175.13888888888889</v>
      </c>
      <c r="Y127" s="27">
        <v>152.96666666666667</v>
      </c>
      <c r="Z127" s="27">
        <v>0</v>
      </c>
      <c r="AA127" s="27">
        <v>0</v>
      </c>
      <c r="AB127" s="27">
        <v>0</v>
      </c>
      <c r="AC127" s="27">
        <v>0</v>
      </c>
      <c r="AD127" s="27">
        <v>872.98888888888882</v>
      </c>
      <c r="AE127" s="27">
        <v>328.10555555555555</v>
      </c>
      <c r="AF127" s="27">
        <v>0</v>
      </c>
      <c r="AG127" s="27">
        <v>1358.8666666666668</v>
      </c>
      <c r="AH127" s="27">
        <v>1201.0944444444444</v>
      </c>
      <c r="AI127" s="27">
        <v>1358.8666666666668</v>
      </c>
      <c r="AJ127" s="28">
        <v>174.31666666666666</v>
      </c>
      <c r="AK127" s="28">
        <v>17.683333333333334</v>
      </c>
      <c r="AL127" s="28">
        <v>192</v>
      </c>
      <c r="AM127" s="29">
        <v>128</v>
      </c>
      <c r="AN127" s="35">
        <v>145</v>
      </c>
      <c r="AO127" s="27">
        <v>145</v>
      </c>
      <c r="AP127" s="27">
        <v>143</v>
      </c>
      <c r="AQ127" s="27">
        <v>138</v>
      </c>
      <c r="AR127" s="27">
        <v>142</v>
      </c>
      <c r="AS127" s="27">
        <v>161</v>
      </c>
      <c r="AT127" s="27">
        <v>191</v>
      </c>
      <c r="AU127" s="27">
        <v>169</v>
      </c>
      <c r="AV127" s="27">
        <v>0</v>
      </c>
      <c r="AW127" s="27">
        <v>0</v>
      </c>
      <c r="AX127" s="27">
        <v>0</v>
      </c>
      <c r="AY127" s="27">
        <v>0</v>
      </c>
      <c r="AZ127" s="27">
        <v>874</v>
      </c>
      <c r="BA127" s="27">
        <v>360</v>
      </c>
      <c r="BB127" s="27">
        <v>0</v>
      </c>
      <c r="BC127" s="27">
        <v>1362</v>
      </c>
      <c r="BD127" s="27">
        <v>1234</v>
      </c>
      <c r="BE127" s="27">
        <v>1362</v>
      </c>
      <c r="BF127" s="27">
        <v>48</v>
      </c>
      <c r="BG127" s="27">
        <v>80</v>
      </c>
      <c r="BH127" s="27">
        <v>0</v>
      </c>
      <c r="BI127" s="27">
        <v>329</v>
      </c>
      <c r="BJ127" s="27">
        <v>185</v>
      </c>
      <c r="BK127" s="29">
        <v>14</v>
      </c>
      <c r="BL127" s="29">
        <v>199</v>
      </c>
      <c r="BM127" s="29">
        <v>34</v>
      </c>
      <c r="BN127" s="30">
        <v>6.0713099937285575E-2</v>
      </c>
      <c r="BO127" s="31">
        <v>75.165000000000006</v>
      </c>
      <c r="BP127" s="31">
        <v>72.165000000000006</v>
      </c>
      <c r="BQ127" s="31">
        <v>71.165000000000006</v>
      </c>
      <c r="BR127" s="31">
        <v>76.165000000000006</v>
      </c>
      <c r="BS127" s="32">
        <v>0</v>
      </c>
      <c r="BT127" s="32">
        <v>0</v>
      </c>
      <c r="BU127" s="33">
        <v>0</v>
      </c>
      <c r="BV127" s="33">
        <v>79.711111000000002</v>
      </c>
      <c r="BW127" s="33">
        <v>47.483333000000002</v>
      </c>
      <c r="BX127" s="33">
        <v>127.19444444444444</v>
      </c>
      <c r="BY127" s="33">
        <v>145.53888888888889</v>
      </c>
      <c r="BZ127" s="33">
        <v>144.75555555555556</v>
      </c>
      <c r="CA127" s="33">
        <v>137.32777777777778</v>
      </c>
      <c r="CB127" s="33">
        <v>137.8388888888889</v>
      </c>
      <c r="CC127" s="33">
        <v>138.91666666666666</v>
      </c>
      <c r="CD127" s="33">
        <v>157.69999999999999</v>
      </c>
      <c r="CE127" s="33">
        <v>190.6888888888889</v>
      </c>
      <c r="CF127" s="33">
        <v>167.32777777777778</v>
      </c>
      <c r="CG127" s="33">
        <v>0</v>
      </c>
      <c r="CH127" s="33">
        <v>0</v>
      </c>
      <c r="CI127" s="33">
        <v>0</v>
      </c>
      <c r="CJ127" s="33">
        <v>0</v>
      </c>
      <c r="CK127" s="33">
        <v>862.07777777777778</v>
      </c>
      <c r="CL127" s="33">
        <v>358.01666666666665</v>
      </c>
      <c r="CM127" s="33">
        <v>0</v>
      </c>
      <c r="CN127" s="33">
        <v>1347.2888888888888</v>
      </c>
      <c r="CO127" s="33">
        <v>1220.0944444444444</v>
      </c>
      <c r="CP127" s="33">
        <v>1347.2888888888888</v>
      </c>
      <c r="CQ127" s="33">
        <v>182.638888888889</v>
      </c>
      <c r="CR127" s="33">
        <v>9</v>
      </c>
      <c r="CS127" s="33">
        <v>191.638888888889</v>
      </c>
      <c r="CT127" s="33">
        <v>0</v>
      </c>
      <c r="CU127" s="33">
        <v>115</v>
      </c>
      <c r="CV127" s="32">
        <v>31</v>
      </c>
      <c r="CW127" s="32">
        <v>146</v>
      </c>
      <c r="CX127" s="32">
        <v>142</v>
      </c>
      <c r="CY127" s="32">
        <v>145</v>
      </c>
      <c r="CZ127" s="32">
        <v>145</v>
      </c>
      <c r="DA127" s="32">
        <v>143</v>
      </c>
      <c r="DB127" s="32">
        <v>146</v>
      </c>
      <c r="DC127" s="32">
        <v>165</v>
      </c>
      <c r="DD127" s="32">
        <v>195</v>
      </c>
      <c r="DE127" s="32">
        <v>179</v>
      </c>
      <c r="DF127" s="32">
        <v>0</v>
      </c>
      <c r="DG127" s="32">
        <v>0</v>
      </c>
      <c r="DH127" s="32">
        <v>0</v>
      </c>
      <c r="DI127" s="32">
        <v>0</v>
      </c>
      <c r="DJ127" s="32">
        <v>886</v>
      </c>
      <c r="DK127" s="32">
        <v>374</v>
      </c>
      <c r="DL127" s="32">
        <v>0</v>
      </c>
      <c r="DM127" s="32">
        <v>1406</v>
      </c>
      <c r="DN127" s="32">
        <v>1260</v>
      </c>
      <c r="DO127" s="32">
        <v>1406</v>
      </c>
      <c r="DP127" s="32">
        <v>0</v>
      </c>
      <c r="DQ127" s="32">
        <v>254</v>
      </c>
      <c r="DR127" s="32">
        <v>200</v>
      </c>
      <c r="DS127" s="32">
        <v>10</v>
      </c>
      <c r="DT127" s="32">
        <v>210</v>
      </c>
      <c r="DU127" s="32">
        <v>33</v>
      </c>
      <c r="DV127" s="33">
        <v>75.915000000000006</v>
      </c>
      <c r="DW127" s="33">
        <v>71.915000000000006</v>
      </c>
      <c r="DX127" s="33">
        <v>44.99</v>
      </c>
      <c r="DY127" s="33">
        <v>20.484999999999999</v>
      </c>
      <c r="DZ127" s="33">
        <v>0</v>
      </c>
      <c r="EA127" s="33">
        <v>77.375</v>
      </c>
      <c r="EB127" s="34">
        <v>5.8290195712664583E-2</v>
      </c>
      <c r="EC127" s="32"/>
      <c r="ED127" s="32">
        <v>149</v>
      </c>
      <c r="EE127" s="32">
        <v>1252</v>
      </c>
      <c r="EF127" s="32">
        <v>890</v>
      </c>
      <c r="EG127" s="32">
        <v>362</v>
      </c>
      <c r="EH127" s="32">
        <v>0</v>
      </c>
      <c r="EI127" s="32">
        <v>1401</v>
      </c>
      <c r="EJ127" s="32">
        <v>0</v>
      </c>
      <c r="EK127" s="32">
        <v>218</v>
      </c>
      <c r="EL127" s="32">
        <v>218</v>
      </c>
      <c r="EM127" s="32">
        <v>206</v>
      </c>
      <c r="EN127" s="32">
        <v>12</v>
      </c>
      <c r="EO127" s="32">
        <v>1</v>
      </c>
      <c r="EP127" s="33">
        <v>60.279000000000003</v>
      </c>
      <c r="EQ127" s="33">
        <v>2</v>
      </c>
      <c r="ER127" s="33">
        <v>4.7480000000000002</v>
      </c>
      <c r="ES127" s="33">
        <v>1</v>
      </c>
      <c r="ET127" s="33">
        <v>10.901999999999999</v>
      </c>
      <c r="EU127" s="33">
        <v>78.929000000000002</v>
      </c>
    </row>
    <row r="128" spans="1:151" ht="41.4" x14ac:dyDescent="0.3">
      <c r="A128" s="25" t="s">
        <v>169</v>
      </c>
      <c r="B128" s="26" t="s">
        <v>393</v>
      </c>
      <c r="C128" s="27" t="s">
        <v>723</v>
      </c>
      <c r="D128" s="27" t="s">
        <v>272</v>
      </c>
      <c r="E128" s="26" t="s">
        <v>503</v>
      </c>
      <c r="F128" s="26" t="s">
        <v>503</v>
      </c>
      <c r="G128" s="28">
        <v>81.955555555555549</v>
      </c>
      <c r="H128" s="28">
        <v>0</v>
      </c>
      <c r="I128" s="29">
        <v>0</v>
      </c>
      <c r="J128" s="29">
        <v>0</v>
      </c>
      <c r="K128" s="29">
        <v>0</v>
      </c>
      <c r="L128" s="29">
        <v>510</v>
      </c>
      <c r="M128" s="29">
        <v>510</v>
      </c>
      <c r="N128" s="29">
        <v>510</v>
      </c>
      <c r="O128" s="29">
        <v>0</v>
      </c>
      <c r="P128" s="29">
        <v>1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>
        <v>137.1611111111111</v>
      </c>
      <c r="AA128" s="27">
        <v>135.74444444444444</v>
      </c>
      <c r="AB128" s="27">
        <v>124.4</v>
      </c>
      <c r="AC128" s="27">
        <v>104.96111111111111</v>
      </c>
      <c r="AD128" s="27">
        <v>0</v>
      </c>
      <c r="AE128" s="27">
        <v>0</v>
      </c>
      <c r="AF128" s="27">
        <v>502.26666666666665</v>
      </c>
      <c r="AG128" s="27">
        <v>0</v>
      </c>
      <c r="AH128" s="27">
        <v>502.26666666666665</v>
      </c>
      <c r="AI128" s="27">
        <v>502.26666666666665</v>
      </c>
      <c r="AJ128" s="28">
        <v>79.150000000000006</v>
      </c>
      <c r="AK128" s="28">
        <v>0.5</v>
      </c>
      <c r="AL128" s="28">
        <v>79.650000000000006</v>
      </c>
      <c r="AM128" s="29">
        <v>0</v>
      </c>
      <c r="AN128" s="35">
        <v>0</v>
      </c>
      <c r="AO128" s="27">
        <v>0</v>
      </c>
      <c r="AP128" s="27">
        <v>0</v>
      </c>
      <c r="AQ128" s="27">
        <v>0</v>
      </c>
      <c r="AR128" s="27">
        <v>0</v>
      </c>
      <c r="AS128" s="27">
        <v>0</v>
      </c>
      <c r="AT128" s="27">
        <v>0</v>
      </c>
      <c r="AU128" s="27">
        <v>0</v>
      </c>
      <c r="AV128" s="27">
        <v>0</v>
      </c>
      <c r="AW128" s="27">
        <v>0</v>
      </c>
      <c r="AX128" s="27">
        <v>0</v>
      </c>
      <c r="AY128" s="27">
        <v>0</v>
      </c>
      <c r="AZ128" s="27">
        <v>0</v>
      </c>
      <c r="BA128" s="27">
        <v>0</v>
      </c>
      <c r="BB128" s="27">
        <v>0</v>
      </c>
      <c r="BC128" s="27">
        <v>0</v>
      </c>
      <c r="BD128" s="27">
        <v>0</v>
      </c>
      <c r="BE128" s="27">
        <v>0</v>
      </c>
      <c r="BF128" s="27">
        <v>0</v>
      </c>
      <c r="BG128" s="27">
        <v>0</v>
      </c>
      <c r="BH128" s="27">
        <v>0</v>
      </c>
      <c r="BI128" s="27">
        <v>0</v>
      </c>
      <c r="BJ128" s="27">
        <v>0</v>
      </c>
      <c r="BK128" s="29">
        <v>0</v>
      </c>
      <c r="BL128" s="29">
        <v>0</v>
      </c>
      <c r="BM128" s="29">
        <v>0</v>
      </c>
      <c r="BN128" s="30">
        <v>5.6332158221797379E-2</v>
      </c>
      <c r="BO128" s="31">
        <v>0</v>
      </c>
      <c r="BP128" s="31">
        <v>0</v>
      </c>
      <c r="BQ128" s="31">
        <v>0</v>
      </c>
      <c r="BR128" s="31">
        <v>0</v>
      </c>
      <c r="BS128" s="32">
        <v>0</v>
      </c>
      <c r="BT128" s="32">
        <v>0</v>
      </c>
      <c r="BU128" s="33">
        <v>0</v>
      </c>
      <c r="BV128" s="33">
        <v>0</v>
      </c>
      <c r="BW128" s="33">
        <v>0</v>
      </c>
      <c r="BX128" s="33">
        <v>0</v>
      </c>
      <c r="BY128" s="33">
        <v>0</v>
      </c>
      <c r="BZ128" s="33">
        <v>0</v>
      </c>
      <c r="CA128" s="33">
        <v>0</v>
      </c>
      <c r="CB128" s="33">
        <v>0</v>
      </c>
      <c r="CC128" s="33">
        <v>0</v>
      </c>
      <c r="CD128" s="33">
        <v>0</v>
      </c>
      <c r="CE128" s="33">
        <v>0</v>
      </c>
      <c r="CF128" s="33">
        <v>0</v>
      </c>
      <c r="CG128" s="33">
        <v>0</v>
      </c>
      <c r="CH128" s="33">
        <v>0</v>
      </c>
      <c r="CI128" s="33">
        <v>0</v>
      </c>
      <c r="CJ128" s="33">
        <v>0</v>
      </c>
      <c r="CK128" s="33">
        <v>0</v>
      </c>
      <c r="CL128" s="33">
        <v>0</v>
      </c>
      <c r="CM128" s="33">
        <v>0</v>
      </c>
      <c r="CN128" s="33">
        <v>0</v>
      </c>
      <c r="CO128" s="33">
        <v>0</v>
      </c>
      <c r="CP128" s="33">
        <v>0</v>
      </c>
      <c r="CQ128" s="33">
        <v>0</v>
      </c>
      <c r="CR128" s="33">
        <v>0</v>
      </c>
      <c r="CS128" s="33">
        <v>0</v>
      </c>
      <c r="CT128" s="33">
        <v>0</v>
      </c>
      <c r="CU128" s="33">
        <v>0</v>
      </c>
      <c r="CV128" s="32">
        <v>0</v>
      </c>
      <c r="CW128" s="32">
        <v>0</v>
      </c>
      <c r="CX128" s="32">
        <v>0</v>
      </c>
      <c r="CY128" s="32">
        <v>0</v>
      </c>
      <c r="CZ128" s="32">
        <v>0</v>
      </c>
      <c r="DA128" s="32">
        <v>0</v>
      </c>
      <c r="DB128" s="32">
        <v>0</v>
      </c>
      <c r="DC128" s="32">
        <v>0</v>
      </c>
      <c r="DD128" s="32">
        <v>0</v>
      </c>
      <c r="DE128" s="32">
        <v>0</v>
      </c>
      <c r="DF128" s="32">
        <v>0</v>
      </c>
      <c r="DG128" s="32">
        <v>0</v>
      </c>
      <c r="DH128" s="32">
        <v>0</v>
      </c>
      <c r="DI128" s="32">
        <v>0</v>
      </c>
      <c r="DJ128" s="32">
        <v>0</v>
      </c>
      <c r="DK128" s="32">
        <v>0</v>
      </c>
      <c r="DL128" s="32">
        <v>0</v>
      </c>
      <c r="DM128" s="32">
        <v>0</v>
      </c>
      <c r="DN128" s="32">
        <v>0</v>
      </c>
      <c r="DO128" s="32">
        <v>0</v>
      </c>
      <c r="DP128" s="32">
        <v>0</v>
      </c>
      <c r="DQ128" s="32">
        <v>0</v>
      </c>
      <c r="DR128" s="32">
        <v>0</v>
      </c>
      <c r="DS128" s="32">
        <v>0</v>
      </c>
      <c r="DT128" s="32">
        <v>0</v>
      </c>
      <c r="DU128" s="32">
        <v>0</v>
      </c>
      <c r="DV128" s="33">
        <v>0</v>
      </c>
      <c r="DW128" s="33">
        <v>0</v>
      </c>
      <c r="DX128" s="33">
        <v>0</v>
      </c>
      <c r="DY128" s="33">
        <v>0</v>
      </c>
      <c r="DZ128" s="33">
        <v>0</v>
      </c>
      <c r="EA128" s="33">
        <v>0</v>
      </c>
      <c r="EB128" s="34">
        <v>0</v>
      </c>
      <c r="EC128" s="32"/>
      <c r="ED128" s="32">
        <v>0</v>
      </c>
      <c r="EE128" s="32">
        <v>0</v>
      </c>
      <c r="EF128" s="32">
        <v>0</v>
      </c>
      <c r="EG128" s="32">
        <v>0</v>
      </c>
      <c r="EH128" s="32">
        <v>0</v>
      </c>
      <c r="EI128" s="32">
        <v>0</v>
      </c>
      <c r="EJ128" s="32">
        <v>0</v>
      </c>
      <c r="EK128" s="32">
        <v>0</v>
      </c>
      <c r="EL128" s="32">
        <v>0</v>
      </c>
      <c r="EM128" s="32">
        <v>0</v>
      </c>
      <c r="EN128" s="32">
        <v>0</v>
      </c>
      <c r="EO128" s="32">
        <v>0</v>
      </c>
      <c r="EP128" s="33">
        <v>0</v>
      </c>
      <c r="EQ128" s="33">
        <v>0</v>
      </c>
      <c r="ER128" s="33">
        <v>0</v>
      </c>
      <c r="ES128" s="33">
        <v>0</v>
      </c>
      <c r="ET128" s="33">
        <v>0</v>
      </c>
      <c r="EU128" s="33">
        <v>0</v>
      </c>
    </row>
    <row r="129" spans="1:151" ht="41.4" x14ac:dyDescent="0.3">
      <c r="A129" s="25" t="s">
        <v>180</v>
      </c>
      <c r="B129" s="26" t="s">
        <v>403</v>
      </c>
      <c r="C129" s="27" t="s">
        <v>181</v>
      </c>
      <c r="D129" s="27" t="s">
        <v>272</v>
      </c>
      <c r="E129" s="26" t="s">
        <v>504</v>
      </c>
      <c r="F129" s="26" t="s">
        <v>504</v>
      </c>
      <c r="G129" s="28">
        <v>39.161111111111111</v>
      </c>
      <c r="H129" s="28">
        <v>0</v>
      </c>
      <c r="I129" s="29">
        <v>35</v>
      </c>
      <c r="J129" s="29">
        <v>208</v>
      </c>
      <c r="K129" s="29">
        <v>73</v>
      </c>
      <c r="L129" s="29">
        <v>0</v>
      </c>
      <c r="M129" s="29">
        <v>316</v>
      </c>
      <c r="N129" s="29">
        <v>281</v>
      </c>
      <c r="O129" s="29">
        <v>316</v>
      </c>
      <c r="P129" s="29">
        <v>0</v>
      </c>
      <c r="Q129" s="27">
        <v>33.18333333333333</v>
      </c>
      <c r="R129" s="27">
        <v>32.866666666666667</v>
      </c>
      <c r="S129" s="27">
        <v>32.888888888888886</v>
      </c>
      <c r="T129" s="27">
        <v>36.072222222222223</v>
      </c>
      <c r="U129" s="27">
        <v>30.25</v>
      </c>
      <c r="V129" s="27">
        <v>29.583333333333332</v>
      </c>
      <c r="W129" s="27">
        <v>42.838888888888889</v>
      </c>
      <c r="X129" s="27">
        <v>31.488888888888887</v>
      </c>
      <c r="Y129" s="27">
        <v>42.533333333333331</v>
      </c>
      <c r="Z129" s="27">
        <v>0</v>
      </c>
      <c r="AA129" s="27">
        <v>0</v>
      </c>
      <c r="AB129" s="27">
        <v>0</v>
      </c>
      <c r="AC129" s="27">
        <v>0</v>
      </c>
      <c r="AD129" s="27">
        <v>204.5</v>
      </c>
      <c r="AE129" s="27">
        <v>74.022222222222211</v>
      </c>
      <c r="AF129" s="27">
        <v>0</v>
      </c>
      <c r="AG129" s="27">
        <v>311.70555555555552</v>
      </c>
      <c r="AH129" s="27">
        <v>278.52222222222224</v>
      </c>
      <c r="AI129" s="27">
        <v>311.70555555555552</v>
      </c>
      <c r="AJ129" s="28">
        <v>36.288888888888891</v>
      </c>
      <c r="AK129" s="28">
        <v>0</v>
      </c>
      <c r="AL129" s="28">
        <v>36.288888888888891</v>
      </c>
      <c r="AM129" s="29">
        <v>29</v>
      </c>
      <c r="AN129" s="35">
        <v>38</v>
      </c>
      <c r="AO129" s="27">
        <v>29</v>
      </c>
      <c r="AP129" s="27">
        <v>36</v>
      </c>
      <c r="AQ129" s="27">
        <v>35</v>
      </c>
      <c r="AR129" s="27">
        <v>32</v>
      </c>
      <c r="AS129" s="27">
        <v>30</v>
      </c>
      <c r="AT129" s="27">
        <v>41</v>
      </c>
      <c r="AU129" s="27">
        <v>30</v>
      </c>
      <c r="AV129" s="27">
        <v>0</v>
      </c>
      <c r="AW129" s="27">
        <v>0</v>
      </c>
      <c r="AX129" s="27">
        <v>0</v>
      </c>
      <c r="AY129" s="27">
        <v>0</v>
      </c>
      <c r="AZ129" s="27">
        <v>200</v>
      </c>
      <c r="BA129" s="27">
        <v>71</v>
      </c>
      <c r="BB129" s="27">
        <v>0</v>
      </c>
      <c r="BC129" s="27">
        <v>300</v>
      </c>
      <c r="BD129" s="27">
        <v>271</v>
      </c>
      <c r="BE129" s="27">
        <v>300</v>
      </c>
      <c r="BF129" s="27">
        <v>29</v>
      </c>
      <c r="BG129" s="27">
        <v>0</v>
      </c>
      <c r="BH129" s="27">
        <v>0</v>
      </c>
      <c r="BI129" s="27">
        <v>168</v>
      </c>
      <c r="BJ129" s="27">
        <v>29</v>
      </c>
      <c r="BK129" s="29">
        <v>0</v>
      </c>
      <c r="BL129" s="29">
        <v>29</v>
      </c>
      <c r="BM129" s="29">
        <v>102</v>
      </c>
      <c r="BN129" s="30">
        <v>6.0576923076923028E-2</v>
      </c>
      <c r="BO129" s="31">
        <v>19</v>
      </c>
      <c r="BP129" s="31">
        <v>19</v>
      </c>
      <c r="BQ129" s="31">
        <v>17</v>
      </c>
      <c r="BR129" s="31">
        <v>18</v>
      </c>
      <c r="BS129" s="32">
        <v>0</v>
      </c>
      <c r="BT129" s="32">
        <v>0</v>
      </c>
      <c r="BU129" s="33">
        <v>0</v>
      </c>
      <c r="BV129" s="33">
        <v>0</v>
      </c>
      <c r="BW129" s="33">
        <v>26.383333</v>
      </c>
      <c r="BX129" s="33">
        <v>26.383333333333333</v>
      </c>
      <c r="BY129" s="33">
        <v>35.394444444444446</v>
      </c>
      <c r="BZ129" s="33">
        <v>28.172222222222221</v>
      </c>
      <c r="CA129" s="33">
        <v>33.472222222222221</v>
      </c>
      <c r="CB129" s="33">
        <v>34.35</v>
      </c>
      <c r="CC129" s="33">
        <v>29.944444444444443</v>
      </c>
      <c r="CD129" s="33">
        <v>30.572222222222223</v>
      </c>
      <c r="CE129" s="33">
        <v>40.216666666666669</v>
      </c>
      <c r="CF129" s="33">
        <v>28.872222222222224</v>
      </c>
      <c r="CG129" s="33">
        <v>0</v>
      </c>
      <c r="CH129" s="33">
        <v>0</v>
      </c>
      <c r="CI129" s="33">
        <v>0</v>
      </c>
      <c r="CJ129" s="33">
        <v>0</v>
      </c>
      <c r="CK129" s="33">
        <v>191.90555555555554</v>
      </c>
      <c r="CL129" s="33">
        <v>69.088888888888889</v>
      </c>
      <c r="CM129" s="33">
        <v>0</v>
      </c>
      <c r="CN129" s="33">
        <v>287.37777777777774</v>
      </c>
      <c r="CO129" s="33">
        <v>260.99444444444441</v>
      </c>
      <c r="CP129" s="33">
        <v>287.37777777777774</v>
      </c>
      <c r="CQ129" s="33">
        <v>30.977777777777799</v>
      </c>
      <c r="CR129" s="33">
        <v>0</v>
      </c>
      <c r="CS129" s="33">
        <v>30.977777777777799</v>
      </c>
      <c r="CT129" s="33">
        <v>0</v>
      </c>
      <c r="CU129" s="33">
        <v>32</v>
      </c>
      <c r="CV129" s="32">
        <v>0</v>
      </c>
      <c r="CW129" s="32">
        <v>32</v>
      </c>
      <c r="CX129" s="32">
        <v>34</v>
      </c>
      <c r="CY129" s="32">
        <v>42</v>
      </c>
      <c r="CZ129" s="32">
        <v>34</v>
      </c>
      <c r="DA129" s="32">
        <v>37</v>
      </c>
      <c r="DB129" s="32">
        <v>34</v>
      </c>
      <c r="DC129" s="32">
        <v>34</v>
      </c>
      <c r="DD129" s="32">
        <v>36</v>
      </c>
      <c r="DE129" s="32">
        <v>45</v>
      </c>
      <c r="DF129" s="32">
        <v>0</v>
      </c>
      <c r="DG129" s="32">
        <v>0</v>
      </c>
      <c r="DH129" s="32">
        <v>0</v>
      </c>
      <c r="DI129" s="32">
        <v>0</v>
      </c>
      <c r="DJ129" s="32">
        <v>215</v>
      </c>
      <c r="DK129" s="32">
        <v>81</v>
      </c>
      <c r="DL129" s="32">
        <v>0</v>
      </c>
      <c r="DM129" s="32">
        <v>328</v>
      </c>
      <c r="DN129" s="32">
        <v>296</v>
      </c>
      <c r="DO129" s="32">
        <v>328</v>
      </c>
      <c r="DP129" s="32">
        <v>0</v>
      </c>
      <c r="DQ129" s="32">
        <v>138</v>
      </c>
      <c r="DR129" s="32">
        <v>39</v>
      </c>
      <c r="DS129" s="32">
        <v>0</v>
      </c>
      <c r="DT129" s="32">
        <v>39</v>
      </c>
      <c r="DU129" s="32">
        <v>102</v>
      </c>
      <c r="DV129" s="33">
        <v>17</v>
      </c>
      <c r="DW129" s="33">
        <v>17</v>
      </c>
      <c r="DX129" s="33">
        <v>11</v>
      </c>
      <c r="DY129" s="33">
        <v>4</v>
      </c>
      <c r="DZ129" s="33">
        <v>0</v>
      </c>
      <c r="EA129" s="33">
        <v>19</v>
      </c>
      <c r="EB129" s="34">
        <v>7.1969696969696961E-2</v>
      </c>
      <c r="EC129" s="32"/>
      <c r="ED129" s="32">
        <v>32</v>
      </c>
      <c r="EE129" s="32">
        <v>294</v>
      </c>
      <c r="EF129" s="32">
        <v>220</v>
      </c>
      <c r="EG129" s="32">
        <v>74</v>
      </c>
      <c r="EH129" s="32">
        <v>0</v>
      </c>
      <c r="EI129" s="32">
        <v>326</v>
      </c>
      <c r="EJ129" s="32">
        <v>0</v>
      </c>
      <c r="EK129" s="32">
        <v>39</v>
      </c>
      <c r="EL129" s="32">
        <v>39</v>
      </c>
      <c r="EM129" s="32">
        <v>39</v>
      </c>
      <c r="EN129" s="32">
        <v>0</v>
      </c>
      <c r="EO129" s="32">
        <v>4</v>
      </c>
      <c r="EP129" s="33">
        <v>22.1</v>
      </c>
      <c r="EQ129" s="33">
        <v>0</v>
      </c>
      <c r="ER129" s="33">
        <v>2.0499999999999998</v>
      </c>
      <c r="ES129" s="33">
        <v>1.19</v>
      </c>
      <c r="ET129" s="33">
        <v>4.42</v>
      </c>
      <c r="EU129" s="33">
        <v>29.760000000000005</v>
      </c>
    </row>
    <row r="130" spans="1:151" ht="55.2" x14ac:dyDescent="0.3">
      <c r="A130" s="25" t="s">
        <v>194</v>
      </c>
      <c r="B130" s="26" t="s">
        <v>415</v>
      </c>
      <c r="C130" s="27" t="s">
        <v>724</v>
      </c>
      <c r="D130" s="27" t="s">
        <v>272</v>
      </c>
      <c r="E130" s="26" t="s">
        <v>503</v>
      </c>
      <c r="F130" s="26" t="s">
        <v>504</v>
      </c>
      <c r="G130" s="28">
        <v>8.3722222222222218</v>
      </c>
      <c r="H130" s="28">
        <v>0</v>
      </c>
      <c r="I130" s="29">
        <v>16</v>
      </c>
      <c r="J130" s="29">
        <v>0</v>
      </c>
      <c r="K130" s="29">
        <v>0</v>
      </c>
      <c r="L130" s="29">
        <v>0</v>
      </c>
      <c r="M130" s="29">
        <v>16</v>
      </c>
      <c r="N130" s="29">
        <v>0</v>
      </c>
      <c r="O130" s="29">
        <v>16</v>
      </c>
      <c r="P130" s="29">
        <v>0</v>
      </c>
      <c r="Q130" s="27">
        <v>16.855555555555554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16.855555555555554</v>
      </c>
      <c r="AH130" s="27">
        <v>0</v>
      </c>
      <c r="AI130" s="27">
        <v>16.855555555555554</v>
      </c>
      <c r="AJ130" s="28">
        <v>4.7944444444444443</v>
      </c>
      <c r="AK130" s="28">
        <v>0</v>
      </c>
      <c r="AL130" s="28">
        <v>4.7944444444444443</v>
      </c>
      <c r="AM130" s="29">
        <v>0</v>
      </c>
      <c r="AN130" s="35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0</v>
      </c>
      <c r="AT130" s="27">
        <v>0</v>
      </c>
      <c r="AU130" s="27">
        <v>0</v>
      </c>
      <c r="AV130" s="27">
        <v>0</v>
      </c>
      <c r="AW130" s="27">
        <v>0</v>
      </c>
      <c r="AX130" s="27">
        <v>0</v>
      </c>
      <c r="AY130" s="27">
        <v>0</v>
      </c>
      <c r="AZ130" s="27">
        <v>0</v>
      </c>
      <c r="BA130" s="27">
        <v>0</v>
      </c>
      <c r="BB130" s="27">
        <v>0</v>
      </c>
      <c r="BC130" s="27">
        <v>0</v>
      </c>
      <c r="BD130" s="27">
        <v>0</v>
      </c>
      <c r="BE130" s="27">
        <v>0</v>
      </c>
      <c r="BF130" s="27">
        <v>0</v>
      </c>
      <c r="BG130" s="27">
        <v>0</v>
      </c>
      <c r="BH130" s="27">
        <v>0</v>
      </c>
      <c r="BI130" s="27">
        <v>0</v>
      </c>
      <c r="BJ130" s="27">
        <v>0</v>
      </c>
      <c r="BK130" s="29">
        <v>0</v>
      </c>
      <c r="BL130" s="29">
        <v>0</v>
      </c>
      <c r="BM130" s="29">
        <v>0</v>
      </c>
      <c r="BN130" s="30">
        <v>9.9999999999999978E-2</v>
      </c>
      <c r="BO130" s="31">
        <v>0</v>
      </c>
      <c r="BP130" s="31">
        <v>0</v>
      </c>
      <c r="BQ130" s="31">
        <v>0</v>
      </c>
      <c r="BR130" s="31">
        <v>0</v>
      </c>
      <c r="BS130" s="32">
        <v>0</v>
      </c>
      <c r="BT130" s="32">
        <v>0</v>
      </c>
      <c r="BU130" s="33">
        <v>0</v>
      </c>
      <c r="BV130" s="33">
        <v>0</v>
      </c>
      <c r="BW130" s="33">
        <v>0</v>
      </c>
      <c r="BX130" s="33">
        <v>0</v>
      </c>
      <c r="BY130" s="33">
        <v>0</v>
      </c>
      <c r="BZ130" s="33">
        <v>0</v>
      </c>
      <c r="CA130" s="33">
        <v>0</v>
      </c>
      <c r="CB130" s="33">
        <v>0</v>
      </c>
      <c r="CC130" s="33">
        <v>0</v>
      </c>
      <c r="CD130" s="33">
        <v>0</v>
      </c>
      <c r="CE130" s="33">
        <v>0</v>
      </c>
      <c r="CF130" s="33">
        <v>0</v>
      </c>
      <c r="CG130" s="33">
        <v>0</v>
      </c>
      <c r="CH130" s="33">
        <v>0</v>
      </c>
      <c r="CI130" s="33">
        <v>0</v>
      </c>
      <c r="CJ130" s="33">
        <v>0</v>
      </c>
      <c r="CK130" s="33">
        <v>0</v>
      </c>
      <c r="CL130" s="33">
        <v>0</v>
      </c>
      <c r="CM130" s="33">
        <v>0</v>
      </c>
      <c r="CN130" s="33">
        <v>0</v>
      </c>
      <c r="CO130" s="33">
        <v>0</v>
      </c>
      <c r="CP130" s="33">
        <v>0</v>
      </c>
      <c r="CQ130" s="33">
        <v>0</v>
      </c>
      <c r="CR130" s="33">
        <v>0</v>
      </c>
      <c r="CS130" s="33">
        <v>0</v>
      </c>
      <c r="CT130" s="33">
        <v>0</v>
      </c>
      <c r="CU130" s="33">
        <v>0</v>
      </c>
      <c r="CV130" s="32">
        <v>0</v>
      </c>
      <c r="CW130" s="32">
        <v>0</v>
      </c>
      <c r="CX130" s="32">
        <v>0</v>
      </c>
      <c r="CY130" s="32">
        <v>0</v>
      </c>
      <c r="CZ130" s="32">
        <v>0</v>
      </c>
      <c r="DA130" s="32">
        <v>0</v>
      </c>
      <c r="DB130" s="32">
        <v>0</v>
      </c>
      <c r="DC130" s="32">
        <v>0</v>
      </c>
      <c r="DD130" s="32">
        <v>0</v>
      </c>
      <c r="DE130" s="32">
        <v>0</v>
      </c>
      <c r="DF130" s="32">
        <v>0</v>
      </c>
      <c r="DG130" s="32">
        <v>0</v>
      </c>
      <c r="DH130" s="32">
        <v>0</v>
      </c>
      <c r="DI130" s="32">
        <v>0</v>
      </c>
      <c r="DJ130" s="32">
        <v>0</v>
      </c>
      <c r="DK130" s="32">
        <v>0</v>
      </c>
      <c r="DL130" s="32">
        <v>0</v>
      </c>
      <c r="DM130" s="32">
        <v>0</v>
      </c>
      <c r="DN130" s="32">
        <v>0</v>
      </c>
      <c r="DO130" s="32">
        <v>0</v>
      </c>
      <c r="DP130" s="32">
        <v>0</v>
      </c>
      <c r="DQ130" s="32">
        <v>0</v>
      </c>
      <c r="DR130" s="32">
        <v>0</v>
      </c>
      <c r="DS130" s="32">
        <v>0</v>
      </c>
      <c r="DT130" s="32">
        <v>0</v>
      </c>
      <c r="DU130" s="32">
        <v>0</v>
      </c>
      <c r="DV130" s="33">
        <v>0</v>
      </c>
      <c r="DW130" s="33">
        <v>0</v>
      </c>
      <c r="DX130" s="33">
        <v>0</v>
      </c>
      <c r="DY130" s="33">
        <v>0</v>
      </c>
      <c r="DZ130" s="33">
        <v>0</v>
      </c>
      <c r="EA130" s="33">
        <v>0</v>
      </c>
      <c r="EB130" s="34">
        <v>0</v>
      </c>
      <c r="EC130" s="32"/>
      <c r="ED130" s="32">
        <v>40</v>
      </c>
      <c r="EE130" s="32">
        <v>0</v>
      </c>
      <c r="EF130" s="32">
        <v>0</v>
      </c>
      <c r="EG130" s="32">
        <v>0</v>
      </c>
      <c r="EH130" s="32">
        <v>0</v>
      </c>
      <c r="EI130" s="32">
        <v>40</v>
      </c>
      <c r="EJ130" s="32">
        <v>0</v>
      </c>
      <c r="EK130" s="32">
        <v>0</v>
      </c>
      <c r="EL130" s="32">
        <v>0</v>
      </c>
      <c r="EM130" s="32">
        <v>0</v>
      </c>
      <c r="EN130" s="32">
        <v>0</v>
      </c>
      <c r="EO130" s="32">
        <v>0</v>
      </c>
      <c r="EP130" s="33">
        <v>0</v>
      </c>
      <c r="EQ130" s="33">
        <v>0</v>
      </c>
      <c r="ER130" s="33">
        <v>0</v>
      </c>
      <c r="ES130" s="33">
        <v>0</v>
      </c>
      <c r="ET130" s="33">
        <v>0</v>
      </c>
      <c r="EU130" s="33">
        <v>0</v>
      </c>
    </row>
    <row r="131" spans="1:151" ht="41.4" x14ac:dyDescent="0.3">
      <c r="A131" s="25" t="s">
        <v>207</v>
      </c>
      <c r="B131" s="26" t="s">
        <v>427</v>
      </c>
      <c r="C131" s="27" t="s">
        <v>725</v>
      </c>
      <c r="D131" s="27" t="s">
        <v>272</v>
      </c>
      <c r="E131" s="26" t="s">
        <v>504</v>
      </c>
      <c r="F131" s="26" t="s">
        <v>504</v>
      </c>
      <c r="G131" s="28">
        <v>65.844444444444449</v>
      </c>
      <c r="H131" s="28">
        <v>0</v>
      </c>
      <c r="I131" s="29">
        <v>43</v>
      </c>
      <c r="J131" s="29">
        <v>261</v>
      </c>
      <c r="K131" s="29">
        <v>64</v>
      </c>
      <c r="L131" s="29">
        <v>0</v>
      </c>
      <c r="M131" s="29">
        <v>368</v>
      </c>
      <c r="N131" s="29">
        <v>325</v>
      </c>
      <c r="O131" s="29">
        <v>368</v>
      </c>
      <c r="P131" s="29">
        <v>0</v>
      </c>
      <c r="Q131" s="27">
        <v>43.838888888888889</v>
      </c>
      <c r="R131" s="27">
        <v>47.983333333333334</v>
      </c>
      <c r="S131" s="27">
        <v>41.93888888888889</v>
      </c>
      <c r="T131" s="27">
        <v>45.444444444444443</v>
      </c>
      <c r="U131" s="27">
        <v>47.611111111111114</v>
      </c>
      <c r="V131" s="27">
        <v>34.966666666666669</v>
      </c>
      <c r="W131" s="27">
        <v>38.544444444444444</v>
      </c>
      <c r="X131" s="27">
        <v>37.450000000000003</v>
      </c>
      <c r="Y131" s="27">
        <v>27.366666666666667</v>
      </c>
      <c r="Z131" s="27">
        <v>0</v>
      </c>
      <c r="AA131" s="27">
        <v>0</v>
      </c>
      <c r="AB131" s="27">
        <v>0</v>
      </c>
      <c r="AC131" s="27">
        <v>0</v>
      </c>
      <c r="AD131" s="27">
        <v>256.48888888888888</v>
      </c>
      <c r="AE131" s="27">
        <v>64.816666666666663</v>
      </c>
      <c r="AF131" s="27">
        <v>0</v>
      </c>
      <c r="AG131" s="27">
        <v>365.14444444444445</v>
      </c>
      <c r="AH131" s="27">
        <v>321.30555555555554</v>
      </c>
      <c r="AI131" s="27">
        <v>365.14444444444445</v>
      </c>
      <c r="AJ131" s="28">
        <v>72.583333333333329</v>
      </c>
      <c r="AK131" s="28">
        <v>1.1111111111111112E-2</v>
      </c>
      <c r="AL131" s="28">
        <v>72.594444444444434</v>
      </c>
      <c r="AM131" s="29">
        <v>43</v>
      </c>
      <c r="AN131" s="35">
        <v>39</v>
      </c>
      <c r="AO131" s="27">
        <v>42</v>
      </c>
      <c r="AP131" s="27">
        <v>43</v>
      </c>
      <c r="AQ131" s="27">
        <v>40</v>
      </c>
      <c r="AR131" s="27">
        <v>42</v>
      </c>
      <c r="AS131" s="27">
        <v>29</v>
      </c>
      <c r="AT131" s="27">
        <v>30</v>
      </c>
      <c r="AU131" s="27">
        <v>29</v>
      </c>
      <c r="AV131" s="27">
        <v>0</v>
      </c>
      <c r="AW131" s="27">
        <v>0</v>
      </c>
      <c r="AX131" s="27">
        <v>0</v>
      </c>
      <c r="AY131" s="27">
        <v>0</v>
      </c>
      <c r="AZ131" s="27">
        <v>235</v>
      </c>
      <c r="BA131" s="27">
        <v>59</v>
      </c>
      <c r="BB131" s="27">
        <v>0</v>
      </c>
      <c r="BC131" s="27">
        <v>337</v>
      </c>
      <c r="BD131" s="27">
        <v>294</v>
      </c>
      <c r="BE131" s="27">
        <v>337</v>
      </c>
      <c r="BF131" s="27">
        <v>43</v>
      </c>
      <c r="BG131" s="27">
        <v>0</v>
      </c>
      <c r="BH131" s="27">
        <v>0</v>
      </c>
      <c r="BI131" s="27">
        <v>190</v>
      </c>
      <c r="BJ131" s="27">
        <v>82</v>
      </c>
      <c r="BK131" s="29">
        <v>0</v>
      </c>
      <c r="BL131" s="29">
        <v>82</v>
      </c>
      <c r="BM131" s="29">
        <v>12</v>
      </c>
      <c r="BN131" s="30">
        <v>6.8716741711011164E-2</v>
      </c>
      <c r="BO131" s="31">
        <v>28</v>
      </c>
      <c r="BP131" s="31">
        <v>27</v>
      </c>
      <c r="BQ131" s="31">
        <v>27</v>
      </c>
      <c r="BR131" s="31">
        <v>28</v>
      </c>
      <c r="BS131" s="32">
        <v>0</v>
      </c>
      <c r="BT131" s="32">
        <v>0</v>
      </c>
      <c r="BU131" s="33">
        <v>0</v>
      </c>
      <c r="BV131" s="33">
        <v>0.42222199999999999</v>
      </c>
      <c r="BW131" s="33">
        <v>41.711111000000002</v>
      </c>
      <c r="BX131" s="33">
        <v>42.133333333333333</v>
      </c>
      <c r="BY131" s="33">
        <v>39.049999999999997</v>
      </c>
      <c r="BZ131" s="33">
        <v>41.327777777777776</v>
      </c>
      <c r="CA131" s="33">
        <v>42.338888888888889</v>
      </c>
      <c r="CB131" s="33">
        <v>39.544444444444444</v>
      </c>
      <c r="CC131" s="33">
        <v>40.93888888888889</v>
      </c>
      <c r="CD131" s="33">
        <v>26.327777777777779</v>
      </c>
      <c r="CE131" s="33">
        <v>27.916666666666668</v>
      </c>
      <c r="CF131" s="33">
        <v>27.372222222222224</v>
      </c>
      <c r="CG131" s="33">
        <v>0</v>
      </c>
      <c r="CH131" s="33">
        <v>0</v>
      </c>
      <c r="CI131" s="33">
        <v>0</v>
      </c>
      <c r="CJ131" s="33">
        <v>0</v>
      </c>
      <c r="CK131" s="33">
        <v>229.52777777777777</v>
      </c>
      <c r="CL131" s="33">
        <v>55.288888888888891</v>
      </c>
      <c r="CM131" s="33">
        <v>0</v>
      </c>
      <c r="CN131" s="33">
        <v>326.95000000000005</v>
      </c>
      <c r="CO131" s="33">
        <v>284.81666666666666</v>
      </c>
      <c r="CP131" s="33">
        <v>326.95000000000005</v>
      </c>
      <c r="CQ131" s="33">
        <v>84.533333333333303</v>
      </c>
      <c r="CR131" s="33">
        <v>0</v>
      </c>
      <c r="CS131" s="33">
        <v>84.533333333333303</v>
      </c>
      <c r="CT131" s="33">
        <v>0</v>
      </c>
      <c r="CU131" s="33">
        <v>44</v>
      </c>
      <c r="CV131" s="32">
        <v>1</v>
      </c>
      <c r="CW131" s="32">
        <v>45</v>
      </c>
      <c r="CX131" s="32">
        <v>45</v>
      </c>
      <c r="CY131" s="32">
        <v>47</v>
      </c>
      <c r="CZ131" s="32">
        <v>39</v>
      </c>
      <c r="DA131" s="32">
        <v>39</v>
      </c>
      <c r="DB131" s="32">
        <v>40</v>
      </c>
      <c r="DC131" s="32">
        <v>42</v>
      </c>
      <c r="DD131" s="32">
        <v>32</v>
      </c>
      <c r="DE131" s="32">
        <v>25</v>
      </c>
      <c r="DF131" s="32">
        <v>0</v>
      </c>
      <c r="DG131" s="32">
        <v>0</v>
      </c>
      <c r="DH131" s="32">
        <v>0</v>
      </c>
      <c r="DI131" s="32">
        <v>0</v>
      </c>
      <c r="DJ131" s="32">
        <v>252</v>
      </c>
      <c r="DK131" s="32">
        <v>57</v>
      </c>
      <c r="DL131" s="32">
        <v>0</v>
      </c>
      <c r="DM131" s="32">
        <v>354</v>
      </c>
      <c r="DN131" s="32">
        <v>309</v>
      </c>
      <c r="DO131" s="32">
        <v>354</v>
      </c>
      <c r="DP131" s="32">
        <v>0</v>
      </c>
      <c r="DQ131" s="32">
        <v>192</v>
      </c>
      <c r="DR131" s="32">
        <v>88</v>
      </c>
      <c r="DS131" s="32">
        <v>1</v>
      </c>
      <c r="DT131" s="32">
        <v>89</v>
      </c>
      <c r="DU131" s="32">
        <v>10</v>
      </c>
      <c r="DV131" s="33">
        <v>26.7</v>
      </c>
      <c r="DW131" s="33">
        <v>25.7</v>
      </c>
      <c r="DX131" s="33">
        <v>17.29</v>
      </c>
      <c r="DY131" s="33">
        <v>5.31</v>
      </c>
      <c r="DZ131" s="33">
        <v>0</v>
      </c>
      <c r="EA131" s="33">
        <v>27.7</v>
      </c>
      <c r="EB131" s="34">
        <v>6.3721384701284245E-2</v>
      </c>
      <c r="EC131" s="32"/>
      <c r="ED131" s="32">
        <v>46</v>
      </c>
      <c r="EE131" s="32">
        <v>305</v>
      </c>
      <c r="EF131" s="32">
        <v>249</v>
      </c>
      <c r="EG131" s="32">
        <v>56</v>
      </c>
      <c r="EH131" s="32">
        <v>0</v>
      </c>
      <c r="EI131" s="32">
        <v>351</v>
      </c>
      <c r="EJ131" s="32">
        <v>0</v>
      </c>
      <c r="EK131" s="32">
        <v>104</v>
      </c>
      <c r="EL131" s="32">
        <v>104</v>
      </c>
      <c r="EM131" s="32">
        <v>103</v>
      </c>
      <c r="EN131" s="32">
        <v>1</v>
      </c>
      <c r="EO131" s="32">
        <v>8</v>
      </c>
      <c r="EP131" s="33">
        <v>8.5</v>
      </c>
      <c r="EQ131" s="33">
        <v>0</v>
      </c>
      <c r="ER131" s="33">
        <v>3</v>
      </c>
      <c r="ES131" s="33">
        <v>3</v>
      </c>
      <c r="ET131" s="33">
        <v>6.5</v>
      </c>
      <c r="EU131" s="33">
        <v>21</v>
      </c>
    </row>
    <row r="132" spans="1:151" ht="41.4" x14ac:dyDescent="0.3">
      <c r="A132" s="25" t="s">
        <v>225</v>
      </c>
      <c r="B132" s="26" t="s">
        <v>438</v>
      </c>
      <c r="C132" s="27" t="s">
        <v>226</v>
      </c>
      <c r="D132" s="27" t="s">
        <v>272</v>
      </c>
      <c r="E132" s="26" t="s">
        <v>504</v>
      </c>
      <c r="F132" s="26" t="s">
        <v>504</v>
      </c>
      <c r="G132" s="28">
        <v>128.1611111111111</v>
      </c>
      <c r="H132" s="28">
        <v>3.4055555555555554</v>
      </c>
      <c r="I132" s="29">
        <v>161</v>
      </c>
      <c r="J132" s="29">
        <v>924</v>
      </c>
      <c r="K132" s="29">
        <v>261</v>
      </c>
      <c r="L132" s="29">
        <v>0</v>
      </c>
      <c r="M132" s="29">
        <v>1346</v>
      </c>
      <c r="N132" s="29">
        <v>1185</v>
      </c>
      <c r="O132" s="29">
        <v>1346</v>
      </c>
      <c r="P132" s="29">
        <v>6</v>
      </c>
      <c r="Q132" s="27">
        <v>154.84444444444443</v>
      </c>
      <c r="R132" s="27">
        <v>171.15</v>
      </c>
      <c r="S132" s="27">
        <v>146.54444444444445</v>
      </c>
      <c r="T132" s="27">
        <v>143.24444444444444</v>
      </c>
      <c r="U132" s="27">
        <v>161.70555555555555</v>
      </c>
      <c r="V132" s="27">
        <v>122.26111111111111</v>
      </c>
      <c r="W132" s="27">
        <v>148.85555555555555</v>
      </c>
      <c r="X132" s="27">
        <v>140.36666666666667</v>
      </c>
      <c r="Y132" s="27">
        <v>121.29444444444445</v>
      </c>
      <c r="Z132" s="27">
        <v>0</v>
      </c>
      <c r="AA132" s="27">
        <v>0</v>
      </c>
      <c r="AB132" s="27">
        <v>0</v>
      </c>
      <c r="AC132" s="27">
        <v>0</v>
      </c>
      <c r="AD132" s="27">
        <v>893.76111111111095</v>
      </c>
      <c r="AE132" s="27">
        <v>261.66111111111115</v>
      </c>
      <c r="AF132" s="27">
        <v>0</v>
      </c>
      <c r="AG132" s="27">
        <v>1310.2666666666667</v>
      </c>
      <c r="AH132" s="27">
        <v>1155.4222222222222</v>
      </c>
      <c r="AI132" s="27">
        <v>1310.2666666666667</v>
      </c>
      <c r="AJ132" s="28">
        <v>145.92222222222222</v>
      </c>
      <c r="AK132" s="28">
        <v>5.6277777777777782</v>
      </c>
      <c r="AL132" s="28">
        <v>151.54999999999998</v>
      </c>
      <c r="AM132" s="29">
        <v>154</v>
      </c>
      <c r="AN132" s="35">
        <v>165</v>
      </c>
      <c r="AO132" s="27">
        <v>189</v>
      </c>
      <c r="AP132" s="27">
        <v>148</v>
      </c>
      <c r="AQ132" s="27">
        <v>149</v>
      </c>
      <c r="AR132" s="27">
        <v>176</v>
      </c>
      <c r="AS132" s="27">
        <v>129</v>
      </c>
      <c r="AT132" s="27">
        <v>179</v>
      </c>
      <c r="AU132" s="27">
        <v>136</v>
      </c>
      <c r="AV132" s="27">
        <v>0</v>
      </c>
      <c r="AW132" s="27">
        <v>0</v>
      </c>
      <c r="AX132" s="27">
        <v>0</v>
      </c>
      <c r="AY132" s="27">
        <v>0</v>
      </c>
      <c r="AZ132" s="27">
        <v>956</v>
      </c>
      <c r="BA132" s="27">
        <v>315</v>
      </c>
      <c r="BB132" s="27">
        <v>0</v>
      </c>
      <c r="BC132" s="27">
        <v>1425</v>
      </c>
      <c r="BD132" s="27">
        <v>1271</v>
      </c>
      <c r="BE132" s="27">
        <v>1425</v>
      </c>
      <c r="BF132" s="27">
        <v>154</v>
      </c>
      <c r="BG132" s="27">
        <v>0</v>
      </c>
      <c r="BH132" s="27">
        <v>0</v>
      </c>
      <c r="BI132" s="27">
        <v>952</v>
      </c>
      <c r="BJ132" s="27">
        <v>144</v>
      </c>
      <c r="BK132" s="29">
        <v>11</v>
      </c>
      <c r="BL132" s="29">
        <v>155</v>
      </c>
      <c r="BM132" s="29">
        <v>353</v>
      </c>
      <c r="BN132" s="30">
        <v>5.9352215367358352E-2</v>
      </c>
      <c r="BO132" s="31">
        <v>72.314999999999998</v>
      </c>
      <c r="BP132" s="31">
        <v>66.314999999999998</v>
      </c>
      <c r="BQ132" s="31">
        <v>64.314999999999998</v>
      </c>
      <c r="BR132" s="31">
        <v>73.314999999999998</v>
      </c>
      <c r="BS132" s="32">
        <v>0</v>
      </c>
      <c r="BT132" s="32">
        <v>0</v>
      </c>
      <c r="BU132" s="33">
        <v>0</v>
      </c>
      <c r="BV132" s="33">
        <v>0</v>
      </c>
      <c r="BW132" s="33">
        <v>152.05000000000001</v>
      </c>
      <c r="BX132" s="33">
        <v>152.05000000000001</v>
      </c>
      <c r="BY132" s="33">
        <v>164.22222222222223</v>
      </c>
      <c r="BZ132" s="33">
        <v>184.91666666666666</v>
      </c>
      <c r="CA132" s="33">
        <v>145.29444444444445</v>
      </c>
      <c r="CB132" s="33">
        <v>143.06666666666666</v>
      </c>
      <c r="CC132" s="33">
        <v>174.19444444444446</v>
      </c>
      <c r="CD132" s="33">
        <v>125.96111111111111</v>
      </c>
      <c r="CE132" s="33">
        <v>175.75555555555556</v>
      </c>
      <c r="CF132" s="33">
        <v>130.61111111111111</v>
      </c>
      <c r="CG132" s="33">
        <v>0</v>
      </c>
      <c r="CH132" s="33">
        <v>0</v>
      </c>
      <c r="CI132" s="33">
        <v>0</v>
      </c>
      <c r="CJ132" s="33">
        <v>0</v>
      </c>
      <c r="CK132" s="33">
        <v>937.65555555555557</v>
      </c>
      <c r="CL132" s="33">
        <v>306.36666666666667</v>
      </c>
      <c r="CM132" s="33">
        <v>0</v>
      </c>
      <c r="CN132" s="33">
        <v>1396.0722222222221</v>
      </c>
      <c r="CO132" s="33">
        <v>1244.0222222222221</v>
      </c>
      <c r="CP132" s="33">
        <v>1396.0722222222221</v>
      </c>
      <c r="CQ132" s="33">
        <v>136.58888888888899</v>
      </c>
      <c r="CR132" s="33">
        <v>12.744444444444399</v>
      </c>
      <c r="CS132" s="33">
        <v>149.3333333333334</v>
      </c>
      <c r="CT132" s="33">
        <v>0</v>
      </c>
      <c r="CU132" s="33">
        <v>237</v>
      </c>
      <c r="CV132" s="32">
        <v>0</v>
      </c>
      <c r="CW132" s="32">
        <v>237</v>
      </c>
      <c r="CX132" s="32">
        <v>232</v>
      </c>
      <c r="CY132" s="32">
        <v>230</v>
      </c>
      <c r="CZ132" s="32">
        <v>223</v>
      </c>
      <c r="DA132" s="32">
        <v>225</v>
      </c>
      <c r="DB132" s="32">
        <v>244</v>
      </c>
      <c r="DC132" s="32">
        <v>233</v>
      </c>
      <c r="DD132" s="32">
        <v>223</v>
      </c>
      <c r="DE132" s="32">
        <v>239</v>
      </c>
      <c r="DF132" s="32">
        <v>80</v>
      </c>
      <c r="DG132" s="32">
        <v>0</v>
      </c>
      <c r="DH132" s="32">
        <v>0</v>
      </c>
      <c r="DI132" s="32">
        <v>0</v>
      </c>
      <c r="DJ132" s="32">
        <v>1387</v>
      </c>
      <c r="DK132" s="32">
        <v>462</v>
      </c>
      <c r="DL132" s="32">
        <v>80</v>
      </c>
      <c r="DM132" s="32">
        <v>2086</v>
      </c>
      <c r="DN132" s="32">
        <v>1929</v>
      </c>
      <c r="DO132" s="32">
        <v>2166</v>
      </c>
      <c r="DP132" s="32">
        <v>0</v>
      </c>
      <c r="DQ132" s="32">
        <v>1295</v>
      </c>
      <c r="DR132" s="32">
        <v>215</v>
      </c>
      <c r="DS132" s="32">
        <v>18</v>
      </c>
      <c r="DT132" s="32">
        <v>233</v>
      </c>
      <c r="DU132" s="32">
        <v>564</v>
      </c>
      <c r="DV132" s="33">
        <v>114.30200000000001</v>
      </c>
      <c r="DW132" s="33">
        <v>106.30199999999999</v>
      </c>
      <c r="DX132" s="33">
        <v>64.402000000000001</v>
      </c>
      <c r="DY132" s="33">
        <v>34.799999999999997</v>
      </c>
      <c r="DZ132" s="33">
        <v>0</v>
      </c>
      <c r="EA132" s="33">
        <v>114.35199999999999</v>
      </c>
      <c r="EB132" s="34">
        <v>6.1858900024848729E-2</v>
      </c>
      <c r="EC132" s="32"/>
      <c r="ED132" s="32">
        <v>231</v>
      </c>
      <c r="EE132" s="32">
        <v>1969</v>
      </c>
      <c r="EF132" s="32">
        <v>1301</v>
      </c>
      <c r="EG132" s="32">
        <v>460</v>
      </c>
      <c r="EH132" s="32">
        <v>208</v>
      </c>
      <c r="EI132" s="32">
        <v>2200</v>
      </c>
      <c r="EJ132" s="32">
        <v>0</v>
      </c>
      <c r="EK132" s="32">
        <v>242</v>
      </c>
      <c r="EL132" s="32">
        <v>242</v>
      </c>
      <c r="EM132" s="32">
        <v>223</v>
      </c>
      <c r="EN132" s="32">
        <v>19</v>
      </c>
      <c r="EO132" s="32">
        <v>24</v>
      </c>
      <c r="EP132" s="33">
        <v>33.401000000000003</v>
      </c>
      <c r="EQ132" s="33">
        <v>0</v>
      </c>
      <c r="ER132" s="33">
        <v>4</v>
      </c>
      <c r="ES132" s="33">
        <v>33.401000000000003</v>
      </c>
      <c r="ET132" s="33">
        <v>1.625</v>
      </c>
      <c r="EU132" s="33">
        <v>72.427000000000007</v>
      </c>
    </row>
    <row r="133" spans="1:151" ht="41.4" x14ac:dyDescent="0.3">
      <c r="A133" s="25" t="s">
        <v>241</v>
      </c>
      <c r="B133" s="26" t="s">
        <v>447</v>
      </c>
      <c r="C133" s="27" t="s">
        <v>726</v>
      </c>
      <c r="D133" s="27" t="s">
        <v>272</v>
      </c>
      <c r="E133" s="26" t="s">
        <v>504</v>
      </c>
      <c r="F133" s="26" t="s">
        <v>504</v>
      </c>
      <c r="G133" s="28">
        <v>54.461111111111109</v>
      </c>
      <c r="H133" s="28">
        <v>6.0333333333333332</v>
      </c>
      <c r="I133" s="29">
        <v>88</v>
      </c>
      <c r="J133" s="29">
        <v>321</v>
      </c>
      <c r="K133" s="29">
        <v>0</v>
      </c>
      <c r="L133" s="29">
        <v>0</v>
      </c>
      <c r="M133" s="29">
        <v>409</v>
      </c>
      <c r="N133" s="29">
        <v>321</v>
      </c>
      <c r="O133" s="29">
        <v>409</v>
      </c>
      <c r="P133" s="29">
        <v>6</v>
      </c>
      <c r="Q133" s="27">
        <v>84.438888888888883</v>
      </c>
      <c r="R133" s="27">
        <v>61.511111111111113</v>
      </c>
      <c r="S133" s="27">
        <v>59.038888888888891</v>
      </c>
      <c r="T133" s="27">
        <v>50.527777777777779</v>
      </c>
      <c r="U133" s="27">
        <v>51.633333333333333</v>
      </c>
      <c r="V133" s="27">
        <v>44.43888888888889</v>
      </c>
      <c r="W133" s="27">
        <v>36.93888888888889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7">
        <v>0</v>
      </c>
      <c r="AD133" s="27">
        <v>304.08888888888885</v>
      </c>
      <c r="AE133" s="27">
        <v>0</v>
      </c>
      <c r="AF133" s="27">
        <v>0</v>
      </c>
      <c r="AG133" s="27">
        <v>388.52777777777771</v>
      </c>
      <c r="AH133" s="27">
        <v>304.08888888888885</v>
      </c>
      <c r="AI133" s="27">
        <v>388.52777777777771</v>
      </c>
      <c r="AJ133" s="28">
        <v>39.388888888888886</v>
      </c>
      <c r="AK133" s="28">
        <v>4.8499999999999996</v>
      </c>
      <c r="AL133" s="28">
        <v>44.238888888888887</v>
      </c>
      <c r="AM133" s="29">
        <v>79</v>
      </c>
      <c r="AN133" s="35">
        <v>70</v>
      </c>
      <c r="AO133" s="27">
        <v>60</v>
      </c>
      <c r="AP133" s="27">
        <v>57</v>
      </c>
      <c r="AQ133" s="27">
        <v>44</v>
      </c>
      <c r="AR133" s="27">
        <v>49</v>
      </c>
      <c r="AS133" s="27">
        <v>40</v>
      </c>
      <c r="AT133" s="27">
        <v>0</v>
      </c>
      <c r="AU133" s="27">
        <v>0</v>
      </c>
      <c r="AV133" s="27">
        <v>0</v>
      </c>
      <c r="AW133" s="27">
        <v>0</v>
      </c>
      <c r="AX133" s="27">
        <v>0</v>
      </c>
      <c r="AY133" s="27">
        <v>0</v>
      </c>
      <c r="AZ133" s="27">
        <v>320</v>
      </c>
      <c r="BA133" s="27">
        <v>0</v>
      </c>
      <c r="BB133" s="27">
        <v>0</v>
      </c>
      <c r="BC133" s="27">
        <v>399</v>
      </c>
      <c r="BD133" s="27">
        <v>320</v>
      </c>
      <c r="BE133" s="27">
        <v>399</v>
      </c>
      <c r="BF133" s="27">
        <v>77</v>
      </c>
      <c r="BG133" s="27">
        <v>2</v>
      </c>
      <c r="BH133" s="27">
        <v>0</v>
      </c>
      <c r="BI133" s="27">
        <v>197</v>
      </c>
      <c r="BJ133" s="27">
        <v>50</v>
      </c>
      <c r="BK133" s="29">
        <v>7</v>
      </c>
      <c r="BL133" s="29">
        <v>57</v>
      </c>
      <c r="BM133" s="29">
        <v>22</v>
      </c>
      <c r="BN133" s="30">
        <v>4.531926406926412E-2</v>
      </c>
      <c r="BO133" s="31">
        <v>31.024999999999999</v>
      </c>
      <c r="BP133" s="31">
        <v>29.024999999999999</v>
      </c>
      <c r="BQ133" s="31">
        <v>27.625</v>
      </c>
      <c r="BR133" s="31">
        <v>31.024999999999999</v>
      </c>
      <c r="BS133" s="32">
        <v>0</v>
      </c>
      <c r="BT133" s="32">
        <v>0</v>
      </c>
      <c r="BU133" s="33">
        <v>0</v>
      </c>
      <c r="BV133" s="33">
        <v>2.5888879999999999</v>
      </c>
      <c r="BW133" s="33">
        <v>76.022221999999999</v>
      </c>
      <c r="BX133" s="33">
        <v>78.611111111111114</v>
      </c>
      <c r="BY133" s="33">
        <v>66.944444444444443</v>
      </c>
      <c r="BZ133" s="33">
        <v>61.322222222222223</v>
      </c>
      <c r="CA133" s="33">
        <v>54.005555555555553</v>
      </c>
      <c r="CB133" s="33">
        <v>43.35</v>
      </c>
      <c r="CC133" s="33">
        <v>49.822222222222223</v>
      </c>
      <c r="CD133" s="33">
        <v>39.255555555555553</v>
      </c>
      <c r="CE133" s="33">
        <v>0</v>
      </c>
      <c r="CF133" s="33">
        <v>0</v>
      </c>
      <c r="CG133" s="33">
        <v>0</v>
      </c>
      <c r="CH133" s="33">
        <v>0</v>
      </c>
      <c r="CI133" s="33">
        <v>0</v>
      </c>
      <c r="CJ133" s="33">
        <v>0</v>
      </c>
      <c r="CK133" s="33">
        <v>314.7</v>
      </c>
      <c r="CL133" s="33">
        <v>0</v>
      </c>
      <c r="CM133" s="33">
        <v>0</v>
      </c>
      <c r="CN133" s="33">
        <v>393.31111111111107</v>
      </c>
      <c r="CO133" s="33">
        <v>314.7</v>
      </c>
      <c r="CP133" s="33">
        <v>393.31111111111107</v>
      </c>
      <c r="CQ133" s="33">
        <v>50.505555555555603</v>
      </c>
      <c r="CR133" s="33">
        <v>6.7</v>
      </c>
      <c r="CS133" s="33">
        <v>57.205555555555605</v>
      </c>
      <c r="CT133" s="33">
        <v>0</v>
      </c>
      <c r="CU133" s="33">
        <v>58</v>
      </c>
      <c r="CV133" s="32">
        <v>1</v>
      </c>
      <c r="CW133" s="32">
        <v>59</v>
      </c>
      <c r="CX133" s="32">
        <v>85</v>
      </c>
      <c r="CY133" s="32">
        <v>72</v>
      </c>
      <c r="CZ133" s="32">
        <v>70</v>
      </c>
      <c r="DA133" s="32">
        <v>58</v>
      </c>
      <c r="DB133" s="32">
        <v>51</v>
      </c>
      <c r="DC133" s="32">
        <v>42</v>
      </c>
      <c r="DD133" s="32">
        <v>0</v>
      </c>
      <c r="DE133" s="32">
        <v>0</v>
      </c>
      <c r="DF133" s="32">
        <v>0</v>
      </c>
      <c r="DG133" s="32">
        <v>0</v>
      </c>
      <c r="DH133" s="32">
        <v>0</v>
      </c>
      <c r="DI133" s="32">
        <v>0</v>
      </c>
      <c r="DJ133" s="32">
        <v>378</v>
      </c>
      <c r="DK133" s="32">
        <v>0</v>
      </c>
      <c r="DL133" s="32">
        <v>0</v>
      </c>
      <c r="DM133" s="32">
        <v>437</v>
      </c>
      <c r="DN133" s="32">
        <v>378</v>
      </c>
      <c r="DO133" s="32">
        <v>437</v>
      </c>
      <c r="DP133" s="32">
        <v>0</v>
      </c>
      <c r="DQ133" s="32">
        <v>100</v>
      </c>
      <c r="DR133" s="32">
        <v>37</v>
      </c>
      <c r="DS133" s="32">
        <v>4</v>
      </c>
      <c r="DT133" s="32">
        <v>41</v>
      </c>
      <c r="DU133" s="32">
        <v>21</v>
      </c>
      <c r="DV133" s="33">
        <v>32.75</v>
      </c>
      <c r="DW133" s="33">
        <v>31.25</v>
      </c>
      <c r="DX133" s="33">
        <v>27.25</v>
      </c>
      <c r="DY133" s="33">
        <v>0.5</v>
      </c>
      <c r="DZ133" s="33">
        <v>0</v>
      </c>
      <c r="EA133" s="33">
        <v>32.75</v>
      </c>
      <c r="EB133" s="34">
        <v>5.6091370558375653E-2</v>
      </c>
      <c r="EC133" s="32"/>
      <c r="ED133" s="32">
        <v>64</v>
      </c>
      <c r="EE133" s="32">
        <v>371</v>
      </c>
      <c r="EF133" s="32">
        <v>371</v>
      </c>
      <c r="EG133" s="32">
        <v>0</v>
      </c>
      <c r="EH133" s="32">
        <v>0</v>
      </c>
      <c r="EI133" s="32">
        <v>435</v>
      </c>
      <c r="EJ133" s="32">
        <v>0</v>
      </c>
      <c r="EK133" s="32">
        <v>43</v>
      </c>
      <c r="EL133" s="32">
        <v>43</v>
      </c>
      <c r="EM133" s="32">
        <v>39</v>
      </c>
      <c r="EN133" s="32">
        <v>4</v>
      </c>
      <c r="EO133" s="32">
        <v>0</v>
      </c>
      <c r="EP133" s="33">
        <v>16.8</v>
      </c>
      <c r="EQ133" s="33">
        <v>0</v>
      </c>
      <c r="ER133" s="33">
        <v>1.8</v>
      </c>
      <c r="ES133" s="33">
        <v>0.6</v>
      </c>
      <c r="ET133" s="33">
        <v>4.4000000000000004</v>
      </c>
      <c r="EU133" s="33">
        <v>23.6</v>
      </c>
    </row>
    <row r="134" spans="1:151" ht="41.4" x14ac:dyDescent="0.3">
      <c r="A134" s="25" t="s">
        <v>454</v>
      </c>
      <c r="B134" s="26" t="s">
        <v>455</v>
      </c>
      <c r="C134" s="27" t="s">
        <v>253</v>
      </c>
      <c r="D134" s="27" t="s">
        <v>272</v>
      </c>
      <c r="E134" s="26" t="s">
        <v>503</v>
      </c>
      <c r="F134" s="26" t="s">
        <v>503</v>
      </c>
      <c r="G134" s="28">
        <v>0</v>
      </c>
      <c r="H134" s="28">
        <v>0</v>
      </c>
      <c r="I134" s="29">
        <v>9</v>
      </c>
      <c r="J134" s="29">
        <v>33</v>
      </c>
      <c r="K134" s="29">
        <v>22</v>
      </c>
      <c r="L134" s="29">
        <v>0</v>
      </c>
      <c r="M134" s="29">
        <v>64</v>
      </c>
      <c r="N134" s="29">
        <v>55</v>
      </c>
      <c r="O134" s="29">
        <v>64</v>
      </c>
      <c r="P134" s="29">
        <v>3</v>
      </c>
      <c r="Q134" s="27">
        <v>8.7222222222222214</v>
      </c>
      <c r="R134" s="27">
        <v>5.5777777777777775</v>
      </c>
      <c r="S134" s="27">
        <v>9.344444444444445</v>
      </c>
      <c r="T134" s="27">
        <v>5.3555555555555552</v>
      </c>
      <c r="U134" s="27">
        <v>6</v>
      </c>
      <c r="V134" s="27">
        <v>8.1388888888888893</v>
      </c>
      <c r="W134" s="27">
        <v>12.161111111111111</v>
      </c>
      <c r="X134" s="27">
        <v>22.088888888888889</v>
      </c>
      <c r="Y134" s="27">
        <v>23.405555555555555</v>
      </c>
      <c r="Z134" s="27">
        <v>0</v>
      </c>
      <c r="AA134" s="27">
        <v>0</v>
      </c>
      <c r="AB134" s="27">
        <v>0</v>
      </c>
      <c r="AC134" s="27">
        <v>0</v>
      </c>
      <c r="AD134" s="27">
        <v>46.577777777777783</v>
      </c>
      <c r="AE134" s="27">
        <v>45.49444444444444</v>
      </c>
      <c r="AF134" s="27">
        <v>0</v>
      </c>
      <c r="AG134" s="27">
        <v>100.79444444444444</v>
      </c>
      <c r="AH134" s="27">
        <v>92.072222222222223</v>
      </c>
      <c r="AI134" s="27">
        <v>100.79444444444444</v>
      </c>
      <c r="AJ134" s="28">
        <v>14.5</v>
      </c>
      <c r="AK134" s="28">
        <v>17.0555555555555</v>
      </c>
      <c r="AL134" s="28">
        <v>31.5555555555555</v>
      </c>
      <c r="AM134" s="29">
        <v>13</v>
      </c>
      <c r="AN134" s="35">
        <v>15</v>
      </c>
      <c r="AO134" s="27">
        <v>11</v>
      </c>
      <c r="AP134" s="27">
        <v>10</v>
      </c>
      <c r="AQ134" s="27">
        <v>17</v>
      </c>
      <c r="AR134" s="27">
        <v>15</v>
      </c>
      <c r="AS134" s="27">
        <v>11</v>
      </c>
      <c r="AT134" s="27">
        <v>26</v>
      </c>
      <c r="AU134" s="27">
        <v>36</v>
      </c>
      <c r="AV134" s="27">
        <v>22</v>
      </c>
      <c r="AW134" s="27">
        <v>0</v>
      </c>
      <c r="AX134" s="27">
        <v>0</v>
      </c>
      <c r="AY134" s="27">
        <v>0</v>
      </c>
      <c r="AZ134" s="27">
        <v>79</v>
      </c>
      <c r="BA134" s="27">
        <v>62</v>
      </c>
      <c r="BB134" s="27">
        <v>22</v>
      </c>
      <c r="BC134" s="27">
        <v>154</v>
      </c>
      <c r="BD134" s="27">
        <v>163</v>
      </c>
      <c r="BE134" s="27">
        <v>176</v>
      </c>
      <c r="BF134" s="27">
        <v>13</v>
      </c>
      <c r="BG134" s="27">
        <v>0</v>
      </c>
      <c r="BH134" s="27">
        <v>0</v>
      </c>
      <c r="BI134" s="27">
        <v>71</v>
      </c>
      <c r="BJ134" s="27">
        <v>21</v>
      </c>
      <c r="BK134" s="29">
        <v>1</v>
      </c>
      <c r="BL134" s="29">
        <v>22</v>
      </c>
      <c r="BM134" s="29">
        <v>3</v>
      </c>
      <c r="BN134" s="30">
        <v>7.7105880230880275E-2</v>
      </c>
      <c r="BO134" s="31">
        <v>15</v>
      </c>
      <c r="BP134" s="31">
        <v>14</v>
      </c>
      <c r="BQ134" s="31">
        <v>14</v>
      </c>
      <c r="BR134" s="31">
        <v>15</v>
      </c>
      <c r="BS134" s="32">
        <v>0</v>
      </c>
      <c r="BT134" s="32">
        <v>0</v>
      </c>
      <c r="BU134" s="33">
        <v>0</v>
      </c>
      <c r="BV134" s="33">
        <v>0</v>
      </c>
      <c r="BW134" s="33">
        <v>13.277777</v>
      </c>
      <c r="BX134" s="33">
        <v>13.277777777777779</v>
      </c>
      <c r="BY134" s="33">
        <v>17.838888888888889</v>
      </c>
      <c r="BZ134" s="33">
        <v>12.46111111111111</v>
      </c>
      <c r="CA134" s="33">
        <v>12.527777777777779</v>
      </c>
      <c r="CB134" s="33">
        <v>15.305555555555555</v>
      </c>
      <c r="CC134" s="33">
        <v>19.677777777777777</v>
      </c>
      <c r="CD134" s="33">
        <v>16.838888888888889</v>
      </c>
      <c r="CE134" s="33">
        <v>32.838888888888889</v>
      </c>
      <c r="CF134" s="33">
        <v>40.916666666666664</v>
      </c>
      <c r="CG134" s="33">
        <v>26.261111111111113</v>
      </c>
      <c r="CH134" s="33">
        <v>0</v>
      </c>
      <c r="CI134" s="33">
        <v>0</v>
      </c>
      <c r="CJ134" s="33">
        <v>0</v>
      </c>
      <c r="CK134" s="33">
        <v>94.649999999999991</v>
      </c>
      <c r="CL134" s="33">
        <v>73.75555555555556</v>
      </c>
      <c r="CM134" s="33">
        <v>26.261111111111113</v>
      </c>
      <c r="CN134" s="33">
        <v>181.68333333333331</v>
      </c>
      <c r="CO134" s="33">
        <v>194.66666666666666</v>
      </c>
      <c r="CP134" s="33">
        <v>207.94444444444443</v>
      </c>
      <c r="CQ134" s="33">
        <v>29.788888888888899</v>
      </c>
      <c r="CR134" s="33">
        <v>1</v>
      </c>
      <c r="CS134" s="33">
        <v>30.788888888888899</v>
      </c>
      <c r="CT134" s="33">
        <v>0</v>
      </c>
      <c r="CU134" s="33">
        <v>0</v>
      </c>
      <c r="CV134" s="32">
        <v>0</v>
      </c>
      <c r="CW134" s="32">
        <v>0</v>
      </c>
      <c r="CX134" s="32">
        <v>0</v>
      </c>
      <c r="CY134" s="32">
        <v>0</v>
      </c>
      <c r="CZ134" s="32">
        <v>0</v>
      </c>
      <c r="DA134" s="32">
        <v>0</v>
      </c>
      <c r="DB134" s="32">
        <v>0</v>
      </c>
      <c r="DC134" s="32">
        <v>0</v>
      </c>
      <c r="DD134" s="32">
        <v>0</v>
      </c>
      <c r="DE134" s="32">
        <v>0</v>
      </c>
      <c r="DF134" s="32">
        <v>0</v>
      </c>
      <c r="DG134" s="32">
        <v>0</v>
      </c>
      <c r="DH134" s="32">
        <v>0</v>
      </c>
      <c r="DI134" s="32">
        <v>0</v>
      </c>
      <c r="DJ134" s="32">
        <v>0</v>
      </c>
      <c r="DK134" s="32">
        <v>0</v>
      </c>
      <c r="DL134" s="32">
        <v>0</v>
      </c>
      <c r="DM134" s="32">
        <v>0</v>
      </c>
      <c r="DN134" s="32">
        <v>0</v>
      </c>
      <c r="DO134" s="32">
        <v>0</v>
      </c>
      <c r="DP134" s="32">
        <v>0</v>
      </c>
      <c r="DQ134" s="32">
        <v>0</v>
      </c>
      <c r="DR134" s="32">
        <v>0</v>
      </c>
      <c r="DS134" s="32">
        <v>0</v>
      </c>
      <c r="DT134" s="32">
        <v>0</v>
      </c>
      <c r="DU134" s="32">
        <v>0</v>
      </c>
      <c r="DV134" s="33">
        <v>0</v>
      </c>
      <c r="DW134" s="33">
        <v>0</v>
      </c>
      <c r="DX134" s="33">
        <v>0</v>
      </c>
      <c r="DY134" s="33">
        <v>0</v>
      </c>
      <c r="DZ134" s="33">
        <v>0</v>
      </c>
      <c r="EA134" s="33">
        <v>0</v>
      </c>
      <c r="EB134" s="34">
        <v>7.5008056955349844E-2</v>
      </c>
      <c r="EC134" s="32"/>
      <c r="ED134" s="32">
        <v>0</v>
      </c>
      <c r="EE134" s="32">
        <v>0</v>
      </c>
      <c r="EF134" s="32">
        <v>0</v>
      </c>
      <c r="EG134" s="32">
        <v>0</v>
      </c>
      <c r="EH134" s="32">
        <v>0</v>
      </c>
      <c r="EI134" s="32">
        <v>0</v>
      </c>
      <c r="EJ134" s="32">
        <v>0</v>
      </c>
      <c r="EK134" s="32">
        <v>0</v>
      </c>
      <c r="EL134" s="32">
        <v>0</v>
      </c>
      <c r="EM134" s="32">
        <v>0</v>
      </c>
      <c r="EN134" s="32">
        <v>0</v>
      </c>
      <c r="EO134" s="32">
        <v>1</v>
      </c>
      <c r="EP134" s="33">
        <v>3</v>
      </c>
      <c r="EQ134" s="33">
        <v>0</v>
      </c>
      <c r="ER134" s="33">
        <v>0</v>
      </c>
      <c r="ES134" s="33">
        <v>0</v>
      </c>
      <c r="ET134" s="33">
        <v>0</v>
      </c>
      <c r="EU134" s="33">
        <v>3</v>
      </c>
    </row>
    <row r="135" spans="1:151" ht="41.4" x14ac:dyDescent="0.3">
      <c r="A135" s="25" t="s">
        <v>86</v>
      </c>
      <c r="B135" s="26" t="s">
        <v>323</v>
      </c>
      <c r="C135" s="27" t="s">
        <v>87</v>
      </c>
      <c r="D135" s="27" t="s">
        <v>272</v>
      </c>
      <c r="E135" s="26" t="s">
        <v>504</v>
      </c>
      <c r="F135" s="26" t="s">
        <v>504</v>
      </c>
      <c r="G135" s="28">
        <v>217.76666666666668</v>
      </c>
      <c r="H135" s="28">
        <v>5</v>
      </c>
      <c r="I135" s="29">
        <v>144</v>
      </c>
      <c r="J135" s="29">
        <v>738</v>
      </c>
      <c r="K135" s="29">
        <v>259</v>
      </c>
      <c r="L135" s="29">
        <v>486</v>
      </c>
      <c r="M135" s="29">
        <v>1627</v>
      </c>
      <c r="N135" s="29">
        <v>1483</v>
      </c>
      <c r="O135" s="29">
        <v>1141</v>
      </c>
      <c r="P135" s="29">
        <v>3</v>
      </c>
      <c r="Q135" s="27">
        <v>142.6</v>
      </c>
      <c r="R135" s="27">
        <v>142.84444444444443</v>
      </c>
      <c r="S135" s="27">
        <v>119.19444444444444</v>
      </c>
      <c r="T135" s="27">
        <v>133.16666666666666</v>
      </c>
      <c r="U135" s="27">
        <v>92.644444444444446</v>
      </c>
      <c r="V135" s="27">
        <v>124.71111111111111</v>
      </c>
      <c r="W135" s="27">
        <v>115.13333333333334</v>
      </c>
      <c r="X135" s="27">
        <v>112.88888888888889</v>
      </c>
      <c r="Y135" s="27">
        <v>146.30000000000001</v>
      </c>
      <c r="Z135" s="27">
        <v>140.52777777777777</v>
      </c>
      <c r="AA135" s="27">
        <v>115.24444444444444</v>
      </c>
      <c r="AB135" s="27">
        <v>120.72222222222223</v>
      </c>
      <c r="AC135" s="27">
        <v>89.938888888888883</v>
      </c>
      <c r="AD135" s="27">
        <v>727.69444444444446</v>
      </c>
      <c r="AE135" s="27">
        <v>259.18888888888887</v>
      </c>
      <c r="AF135" s="27">
        <v>466.43333333333328</v>
      </c>
      <c r="AG135" s="27">
        <v>1129.4833333333333</v>
      </c>
      <c r="AH135" s="27">
        <v>1453.3166666666668</v>
      </c>
      <c r="AI135" s="27">
        <v>1595.9166666666667</v>
      </c>
      <c r="AJ135" s="28">
        <v>212.79444444444445</v>
      </c>
      <c r="AK135" s="28">
        <v>3</v>
      </c>
      <c r="AL135" s="28">
        <v>215.79444444444445</v>
      </c>
      <c r="AM135" s="29">
        <v>130</v>
      </c>
      <c r="AN135" s="35">
        <v>133</v>
      </c>
      <c r="AO135" s="27">
        <v>133</v>
      </c>
      <c r="AP135" s="27">
        <v>116</v>
      </c>
      <c r="AQ135" s="27">
        <v>131</v>
      </c>
      <c r="AR135" s="27">
        <v>99</v>
      </c>
      <c r="AS135" s="27">
        <v>124</v>
      </c>
      <c r="AT135" s="27">
        <v>128</v>
      </c>
      <c r="AU135" s="27">
        <v>117</v>
      </c>
      <c r="AV135" s="27">
        <v>161</v>
      </c>
      <c r="AW135" s="27">
        <v>127</v>
      </c>
      <c r="AX135" s="27">
        <v>107</v>
      </c>
      <c r="AY135" s="27">
        <v>112</v>
      </c>
      <c r="AZ135" s="27">
        <v>736</v>
      </c>
      <c r="BA135" s="27">
        <v>245</v>
      </c>
      <c r="BB135" s="27">
        <v>507</v>
      </c>
      <c r="BC135" s="27">
        <v>1111</v>
      </c>
      <c r="BD135" s="27">
        <v>1488</v>
      </c>
      <c r="BE135" s="27">
        <v>1618</v>
      </c>
      <c r="BF135" s="27">
        <v>111</v>
      </c>
      <c r="BG135" s="27">
        <v>19</v>
      </c>
      <c r="BH135" s="27">
        <v>1</v>
      </c>
      <c r="BI135" s="27">
        <v>643</v>
      </c>
      <c r="BJ135" s="27">
        <v>219</v>
      </c>
      <c r="BK135" s="29">
        <v>4</v>
      </c>
      <c r="BL135" s="29">
        <v>223</v>
      </c>
      <c r="BM135" s="29">
        <v>136</v>
      </c>
      <c r="BN135" s="30">
        <v>6.776462085835E-2</v>
      </c>
      <c r="BO135" s="31">
        <v>92.37</v>
      </c>
      <c r="BP135" s="31">
        <v>88.37</v>
      </c>
      <c r="BQ135" s="31">
        <v>86.37</v>
      </c>
      <c r="BR135" s="31">
        <v>94.37</v>
      </c>
      <c r="BS135" s="32">
        <v>0</v>
      </c>
      <c r="BT135" s="32">
        <v>0</v>
      </c>
      <c r="BU135" s="33">
        <v>0</v>
      </c>
      <c r="BV135" s="33">
        <v>18.166665999999999</v>
      </c>
      <c r="BW135" s="33">
        <v>104.366666</v>
      </c>
      <c r="BX135" s="33">
        <v>122.53333333333333</v>
      </c>
      <c r="BY135" s="33">
        <v>131.86111111111111</v>
      </c>
      <c r="BZ135" s="33">
        <v>128.75</v>
      </c>
      <c r="CA135" s="33">
        <v>113.61666666666666</v>
      </c>
      <c r="CB135" s="33">
        <v>130.26666666666668</v>
      </c>
      <c r="CC135" s="33">
        <v>96.777777777777771</v>
      </c>
      <c r="CD135" s="33">
        <v>123.62777777777778</v>
      </c>
      <c r="CE135" s="33">
        <v>124.03333333333333</v>
      </c>
      <c r="CF135" s="33">
        <v>112.31666666666666</v>
      </c>
      <c r="CG135" s="33">
        <v>155.12777777777777</v>
      </c>
      <c r="CH135" s="33">
        <v>125.05</v>
      </c>
      <c r="CI135" s="33">
        <v>106.52777777777777</v>
      </c>
      <c r="CJ135" s="33">
        <v>111.82222222222222</v>
      </c>
      <c r="CK135" s="33">
        <v>724.89999999999986</v>
      </c>
      <c r="CL135" s="33">
        <v>236.35</v>
      </c>
      <c r="CM135" s="33">
        <v>498.52777777777771</v>
      </c>
      <c r="CN135" s="33">
        <v>1083.7833333333333</v>
      </c>
      <c r="CO135" s="33">
        <v>1459.7777777777776</v>
      </c>
      <c r="CP135" s="33">
        <v>1582.3111111111111</v>
      </c>
      <c r="CQ135" s="33">
        <v>225.333333333333</v>
      </c>
      <c r="CR135" s="33">
        <v>7.68888888888889</v>
      </c>
      <c r="CS135" s="33">
        <v>233.0222222222219</v>
      </c>
      <c r="CT135" s="33">
        <v>0</v>
      </c>
      <c r="CU135" s="33">
        <v>98</v>
      </c>
      <c r="CV135" s="32">
        <v>19</v>
      </c>
      <c r="CW135" s="32">
        <v>117</v>
      </c>
      <c r="CX135" s="32">
        <v>125</v>
      </c>
      <c r="CY135" s="32">
        <v>126</v>
      </c>
      <c r="CZ135" s="32">
        <v>134</v>
      </c>
      <c r="DA135" s="32">
        <v>111</v>
      </c>
      <c r="DB135" s="32">
        <v>131</v>
      </c>
      <c r="DC135" s="32">
        <v>100</v>
      </c>
      <c r="DD135" s="32">
        <v>144</v>
      </c>
      <c r="DE135" s="32">
        <v>132</v>
      </c>
      <c r="DF135" s="32">
        <v>121</v>
      </c>
      <c r="DG135" s="32">
        <v>141</v>
      </c>
      <c r="DH135" s="32">
        <v>111</v>
      </c>
      <c r="DI135" s="32">
        <v>99</v>
      </c>
      <c r="DJ135" s="32">
        <v>727</v>
      </c>
      <c r="DK135" s="32">
        <v>276</v>
      </c>
      <c r="DL135" s="32">
        <v>472</v>
      </c>
      <c r="DM135" s="32">
        <v>1120</v>
      </c>
      <c r="DN135" s="32">
        <v>1475</v>
      </c>
      <c r="DO135" s="32">
        <v>1592</v>
      </c>
      <c r="DP135" s="32">
        <v>1</v>
      </c>
      <c r="DQ135" s="32">
        <v>590</v>
      </c>
      <c r="DR135" s="32">
        <v>220</v>
      </c>
      <c r="DS135" s="32">
        <v>8</v>
      </c>
      <c r="DT135" s="32">
        <v>228</v>
      </c>
      <c r="DU135" s="32">
        <v>139</v>
      </c>
      <c r="DV135" s="33">
        <v>99.37</v>
      </c>
      <c r="DW135" s="33">
        <v>95.37</v>
      </c>
      <c r="DX135" s="33">
        <v>39.51</v>
      </c>
      <c r="DY135" s="33">
        <v>48.73</v>
      </c>
      <c r="DZ135" s="33">
        <v>0</v>
      </c>
      <c r="EA135" s="33">
        <v>100.75</v>
      </c>
      <c r="EB135" s="34">
        <v>6.4004848447886675E-2</v>
      </c>
      <c r="EC135" s="32"/>
      <c r="ED135" s="32">
        <v>120</v>
      </c>
      <c r="EE135" s="32">
        <v>1459</v>
      </c>
      <c r="EF135" s="32">
        <v>754</v>
      </c>
      <c r="EG135" s="32">
        <v>228</v>
      </c>
      <c r="EH135" s="32">
        <v>477</v>
      </c>
      <c r="EI135" s="32">
        <v>1579</v>
      </c>
      <c r="EJ135" s="32">
        <v>0</v>
      </c>
      <c r="EK135" s="32">
        <v>233</v>
      </c>
      <c r="EL135" s="32">
        <v>233</v>
      </c>
      <c r="EM135" s="32">
        <v>225</v>
      </c>
      <c r="EN135" s="32">
        <v>8</v>
      </c>
      <c r="EO135" s="32">
        <v>7</v>
      </c>
      <c r="EP135" s="33">
        <v>29.25</v>
      </c>
      <c r="EQ135" s="33">
        <v>1</v>
      </c>
      <c r="ER135" s="33">
        <v>10.5</v>
      </c>
      <c r="ES135" s="33">
        <v>0.5</v>
      </c>
      <c r="ET135" s="33">
        <v>9.5</v>
      </c>
      <c r="EU135" s="33">
        <v>50.75</v>
      </c>
    </row>
    <row r="136" spans="1:151" ht="27.6" x14ac:dyDescent="0.3">
      <c r="A136" s="25" t="s">
        <v>102</v>
      </c>
      <c r="B136" s="26" t="s">
        <v>338</v>
      </c>
      <c r="C136" s="27" t="s">
        <v>103</v>
      </c>
      <c r="D136" s="27" t="s">
        <v>272</v>
      </c>
      <c r="E136" s="26" t="s">
        <v>504</v>
      </c>
      <c r="F136" s="26" t="s">
        <v>504</v>
      </c>
      <c r="G136" s="28">
        <v>76.711111111111109</v>
      </c>
      <c r="H136" s="28">
        <v>4.75</v>
      </c>
      <c r="I136" s="29">
        <v>104</v>
      </c>
      <c r="J136" s="29">
        <v>557</v>
      </c>
      <c r="K136" s="29">
        <v>70</v>
      </c>
      <c r="L136" s="29">
        <v>21</v>
      </c>
      <c r="M136" s="29">
        <v>752</v>
      </c>
      <c r="N136" s="29">
        <v>648</v>
      </c>
      <c r="O136" s="29">
        <v>731</v>
      </c>
      <c r="P136" s="29">
        <v>9</v>
      </c>
      <c r="Q136" s="27">
        <v>103</v>
      </c>
      <c r="R136" s="27">
        <v>98.683333333333337</v>
      </c>
      <c r="S136" s="27">
        <v>96.722222222222229</v>
      </c>
      <c r="T136" s="27">
        <v>91.088888888888889</v>
      </c>
      <c r="U136" s="27">
        <v>95.833333333333329</v>
      </c>
      <c r="V136" s="27">
        <v>78.349999999999994</v>
      </c>
      <c r="W136" s="27">
        <v>79.894444444444446</v>
      </c>
      <c r="X136" s="27">
        <v>36.111111111111114</v>
      </c>
      <c r="Y136" s="27">
        <v>29.75</v>
      </c>
      <c r="Z136" s="27">
        <v>21.372222222222224</v>
      </c>
      <c r="AA136" s="27">
        <v>0</v>
      </c>
      <c r="AB136" s="27">
        <v>0</v>
      </c>
      <c r="AC136" s="27">
        <v>0</v>
      </c>
      <c r="AD136" s="27">
        <v>540.57222222222231</v>
      </c>
      <c r="AE136" s="27">
        <v>65.861111111111114</v>
      </c>
      <c r="AF136" s="27">
        <v>21.372222222222224</v>
      </c>
      <c r="AG136" s="27">
        <v>709.43333333333339</v>
      </c>
      <c r="AH136" s="27">
        <v>627.80555555555566</v>
      </c>
      <c r="AI136" s="27">
        <v>730.80555555555566</v>
      </c>
      <c r="AJ136" s="28">
        <v>90.99444444444444</v>
      </c>
      <c r="AK136" s="28">
        <v>9.0388888888888896</v>
      </c>
      <c r="AL136" s="28">
        <v>100.03333333333333</v>
      </c>
      <c r="AM136" s="29">
        <v>106</v>
      </c>
      <c r="AN136" s="35">
        <v>96</v>
      </c>
      <c r="AO136" s="27">
        <v>106</v>
      </c>
      <c r="AP136" s="27">
        <v>102</v>
      </c>
      <c r="AQ136" s="27">
        <v>96</v>
      </c>
      <c r="AR136" s="27">
        <v>99</v>
      </c>
      <c r="AS136" s="27">
        <v>78</v>
      </c>
      <c r="AT136" s="27">
        <v>0</v>
      </c>
      <c r="AU136" s="27">
        <v>0</v>
      </c>
      <c r="AV136" s="27">
        <v>0</v>
      </c>
      <c r="AW136" s="27">
        <v>0</v>
      </c>
      <c r="AX136" s="27">
        <v>0</v>
      </c>
      <c r="AY136" s="27">
        <v>0</v>
      </c>
      <c r="AZ136" s="27">
        <v>577</v>
      </c>
      <c r="BA136" s="27">
        <v>0</v>
      </c>
      <c r="BB136" s="27">
        <v>0</v>
      </c>
      <c r="BC136" s="27">
        <v>683</v>
      </c>
      <c r="BD136" s="27">
        <v>577</v>
      </c>
      <c r="BE136" s="27">
        <v>683</v>
      </c>
      <c r="BF136" s="27">
        <v>106</v>
      </c>
      <c r="BG136" s="27">
        <v>0</v>
      </c>
      <c r="BH136" s="27">
        <v>0</v>
      </c>
      <c r="BI136" s="27">
        <v>42</v>
      </c>
      <c r="BJ136" s="27">
        <v>67</v>
      </c>
      <c r="BK136" s="29">
        <v>3</v>
      </c>
      <c r="BL136" s="29">
        <v>70</v>
      </c>
      <c r="BM136" s="29">
        <v>2</v>
      </c>
      <c r="BN136" s="30">
        <v>5.8480039672700268E-2</v>
      </c>
      <c r="BO136" s="31">
        <v>34.75</v>
      </c>
      <c r="BP136" s="31">
        <v>33.75</v>
      </c>
      <c r="BQ136" s="31">
        <v>33</v>
      </c>
      <c r="BR136" s="31">
        <v>36</v>
      </c>
      <c r="BS136" s="32">
        <v>0</v>
      </c>
      <c r="BT136" s="32">
        <v>0</v>
      </c>
      <c r="BU136" s="33">
        <v>0</v>
      </c>
      <c r="BV136" s="33">
        <v>0</v>
      </c>
      <c r="BW136" s="33">
        <v>105.62222199999999</v>
      </c>
      <c r="BX136" s="33">
        <v>105.62222222222222</v>
      </c>
      <c r="BY136" s="33">
        <v>92.522222222222226</v>
      </c>
      <c r="BZ136" s="33">
        <v>104.61111111111111</v>
      </c>
      <c r="CA136" s="33">
        <v>100.79444444444445</v>
      </c>
      <c r="CB136" s="33">
        <v>92.083333333333329</v>
      </c>
      <c r="CC136" s="33">
        <v>97.75</v>
      </c>
      <c r="CD136" s="33">
        <v>75.927777777777777</v>
      </c>
      <c r="CE136" s="33">
        <v>0</v>
      </c>
      <c r="CF136" s="33">
        <v>0</v>
      </c>
      <c r="CG136" s="33">
        <v>0</v>
      </c>
      <c r="CH136" s="33">
        <v>0</v>
      </c>
      <c r="CI136" s="33">
        <v>0</v>
      </c>
      <c r="CJ136" s="33">
        <v>0</v>
      </c>
      <c r="CK136" s="33">
        <v>563.68888888888887</v>
      </c>
      <c r="CL136" s="33">
        <v>0</v>
      </c>
      <c r="CM136" s="33">
        <v>0</v>
      </c>
      <c r="CN136" s="33">
        <v>669.31111111111125</v>
      </c>
      <c r="CO136" s="33">
        <v>563.68888888888887</v>
      </c>
      <c r="CP136" s="33">
        <v>669.31111111111125</v>
      </c>
      <c r="CQ136" s="33">
        <v>70.377777777777794</v>
      </c>
      <c r="CR136" s="33">
        <v>3</v>
      </c>
      <c r="CS136" s="33">
        <v>73.377777777777794</v>
      </c>
      <c r="CT136" s="33">
        <v>0</v>
      </c>
      <c r="CU136" s="33">
        <v>95</v>
      </c>
      <c r="CV136" s="32">
        <v>0</v>
      </c>
      <c r="CW136" s="32">
        <v>95</v>
      </c>
      <c r="CX136" s="32">
        <v>92</v>
      </c>
      <c r="CY136" s="32">
        <v>86</v>
      </c>
      <c r="CZ136" s="32">
        <v>103</v>
      </c>
      <c r="DA136" s="32">
        <v>102</v>
      </c>
      <c r="DB136" s="32">
        <v>89</v>
      </c>
      <c r="DC136" s="32">
        <v>94</v>
      </c>
      <c r="DD136" s="32">
        <v>0</v>
      </c>
      <c r="DE136" s="32">
        <v>0</v>
      </c>
      <c r="DF136" s="32">
        <v>0</v>
      </c>
      <c r="DG136" s="32">
        <v>0</v>
      </c>
      <c r="DH136" s="32">
        <v>0</v>
      </c>
      <c r="DI136" s="32">
        <v>0</v>
      </c>
      <c r="DJ136" s="32">
        <v>566</v>
      </c>
      <c r="DK136" s="32">
        <v>0</v>
      </c>
      <c r="DL136" s="32">
        <v>0</v>
      </c>
      <c r="DM136" s="32">
        <v>661</v>
      </c>
      <c r="DN136" s="32">
        <v>566</v>
      </c>
      <c r="DO136" s="32">
        <v>661</v>
      </c>
      <c r="DP136" s="32">
        <v>0</v>
      </c>
      <c r="DQ136" s="32">
        <v>25</v>
      </c>
      <c r="DR136" s="32">
        <v>75</v>
      </c>
      <c r="DS136" s="32">
        <v>2</v>
      </c>
      <c r="DT136" s="32">
        <v>77</v>
      </c>
      <c r="DU136" s="32">
        <v>2</v>
      </c>
      <c r="DV136" s="33">
        <v>34.75</v>
      </c>
      <c r="DW136" s="33">
        <v>33.75</v>
      </c>
      <c r="DX136" s="33">
        <v>31</v>
      </c>
      <c r="DY136" s="33">
        <v>0</v>
      </c>
      <c r="DZ136" s="33">
        <v>1</v>
      </c>
      <c r="EA136" s="33">
        <v>35</v>
      </c>
      <c r="EB136" s="34">
        <v>6.0707676779005237E-2</v>
      </c>
      <c r="EC136" s="32"/>
      <c r="ED136" s="32">
        <v>94</v>
      </c>
      <c r="EE136" s="32">
        <v>565</v>
      </c>
      <c r="EF136" s="32">
        <v>565</v>
      </c>
      <c r="EG136" s="32">
        <v>0</v>
      </c>
      <c r="EH136" s="32">
        <v>0</v>
      </c>
      <c r="EI136" s="32">
        <v>659</v>
      </c>
      <c r="EJ136" s="32">
        <v>0</v>
      </c>
      <c r="EK136" s="32">
        <v>77</v>
      </c>
      <c r="EL136" s="32">
        <v>77</v>
      </c>
      <c r="EM136" s="32">
        <v>75</v>
      </c>
      <c r="EN136" s="32">
        <v>2</v>
      </c>
      <c r="EO136" s="32">
        <v>9</v>
      </c>
      <c r="EP136" s="33">
        <v>19.5</v>
      </c>
      <c r="EQ136" s="33">
        <v>1</v>
      </c>
      <c r="ER136" s="33">
        <v>2</v>
      </c>
      <c r="ES136" s="33">
        <v>0</v>
      </c>
      <c r="ET136" s="33">
        <v>1</v>
      </c>
      <c r="EU136" s="33">
        <v>23.5</v>
      </c>
    </row>
    <row r="137" spans="1:151" ht="55.2" x14ac:dyDescent="0.3">
      <c r="A137" s="25" t="s">
        <v>119</v>
      </c>
      <c r="B137" s="26" t="s">
        <v>355</v>
      </c>
      <c r="C137" s="27" t="s">
        <v>727</v>
      </c>
      <c r="D137" s="27" t="s">
        <v>272</v>
      </c>
      <c r="E137" s="26" t="s">
        <v>504</v>
      </c>
      <c r="F137" s="26" t="s">
        <v>504</v>
      </c>
      <c r="G137" s="28">
        <v>54.87222222222222</v>
      </c>
      <c r="H137" s="28">
        <v>2.0055555555555555</v>
      </c>
      <c r="I137" s="29">
        <v>40</v>
      </c>
      <c r="J137" s="29">
        <v>207</v>
      </c>
      <c r="K137" s="29">
        <v>39</v>
      </c>
      <c r="L137" s="29">
        <v>0</v>
      </c>
      <c r="M137" s="29">
        <v>286</v>
      </c>
      <c r="N137" s="29">
        <v>246</v>
      </c>
      <c r="O137" s="29">
        <v>286</v>
      </c>
      <c r="P137" s="29">
        <v>1</v>
      </c>
      <c r="Q137" s="27">
        <v>42.205555555555556</v>
      </c>
      <c r="R137" s="27">
        <v>35.055555555555557</v>
      </c>
      <c r="S137" s="27">
        <v>41.755555555555553</v>
      </c>
      <c r="T137" s="27">
        <v>45.394444444444446</v>
      </c>
      <c r="U137" s="27">
        <v>35.738888888888887</v>
      </c>
      <c r="V137" s="27">
        <v>24.838888888888889</v>
      </c>
      <c r="W137" s="27">
        <v>23.183333333333334</v>
      </c>
      <c r="X137" s="27">
        <v>14.372222222222222</v>
      </c>
      <c r="Y137" s="27">
        <v>24</v>
      </c>
      <c r="Z137" s="27">
        <v>0</v>
      </c>
      <c r="AA137" s="27">
        <v>0</v>
      </c>
      <c r="AB137" s="27">
        <v>0</v>
      </c>
      <c r="AC137" s="27">
        <v>0</v>
      </c>
      <c r="AD137" s="27">
        <v>205.96666666666664</v>
      </c>
      <c r="AE137" s="27">
        <v>38.37222222222222</v>
      </c>
      <c r="AF137" s="27">
        <v>0</v>
      </c>
      <c r="AG137" s="27">
        <v>286.54444444444442</v>
      </c>
      <c r="AH137" s="27">
        <v>244.33888888888887</v>
      </c>
      <c r="AI137" s="27">
        <v>286.54444444444442</v>
      </c>
      <c r="AJ137" s="28">
        <v>45.461111111111109</v>
      </c>
      <c r="AK137" s="28">
        <v>0.45555555555555555</v>
      </c>
      <c r="AL137" s="28">
        <v>45.916666666666664</v>
      </c>
      <c r="AM137" s="29">
        <v>27</v>
      </c>
      <c r="AN137" s="35">
        <v>40</v>
      </c>
      <c r="AO137" s="27">
        <v>30</v>
      </c>
      <c r="AP137" s="27">
        <v>39</v>
      </c>
      <c r="AQ137" s="27">
        <v>44</v>
      </c>
      <c r="AR137" s="27">
        <v>22</v>
      </c>
      <c r="AS137" s="27">
        <v>27</v>
      </c>
      <c r="AT137" s="27">
        <v>22</v>
      </c>
      <c r="AU137" s="27">
        <v>14</v>
      </c>
      <c r="AV137" s="27">
        <v>0</v>
      </c>
      <c r="AW137" s="27">
        <v>0</v>
      </c>
      <c r="AX137" s="27">
        <v>0</v>
      </c>
      <c r="AY137" s="27">
        <v>0</v>
      </c>
      <c r="AZ137" s="27">
        <v>202</v>
      </c>
      <c r="BA137" s="27">
        <v>36</v>
      </c>
      <c r="BB137" s="27">
        <v>0</v>
      </c>
      <c r="BC137" s="27">
        <v>265</v>
      </c>
      <c r="BD137" s="27">
        <v>238</v>
      </c>
      <c r="BE137" s="27">
        <v>265</v>
      </c>
      <c r="BF137" s="27">
        <v>27</v>
      </c>
      <c r="BG137" s="27">
        <v>0</v>
      </c>
      <c r="BH137" s="27">
        <v>0</v>
      </c>
      <c r="BI137" s="27">
        <v>97</v>
      </c>
      <c r="BJ137" s="27">
        <v>42</v>
      </c>
      <c r="BK137" s="29">
        <v>0</v>
      </c>
      <c r="BL137" s="29">
        <v>42</v>
      </c>
      <c r="BM137" s="29">
        <v>18</v>
      </c>
      <c r="BN137" s="30">
        <v>0.10243055555555558</v>
      </c>
      <c r="BO137" s="31">
        <v>17.763999999999999</v>
      </c>
      <c r="BP137" s="31">
        <v>17</v>
      </c>
      <c r="BQ137" s="31">
        <v>17</v>
      </c>
      <c r="BR137" s="31">
        <v>17.763999999999999</v>
      </c>
      <c r="BS137" s="32">
        <v>0</v>
      </c>
      <c r="BT137" s="32">
        <v>0</v>
      </c>
      <c r="BU137" s="33">
        <v>0</v>
      </c>
      <c r="BV137" s="33">
        <v>0</v>
      </c>
      <c r="BW137" s="33">
        <v>28.883333</v>
      </c>
      <c r="BX137" s="33">
        <v>28.883333333333333</v>
      </c>
      <c r="BY137" s="33">
        <v>41.455555555555556</v>
      </c>
      <c r="BZ137" s="33">
        <v>31.872222222222224</v>
      </c>
      <c r="CA137" s="33">
        <v>39.799999999999997</v>
      </c>
      <c r="CB137" s="33">
        <v>43.477777777777774</v>
      </c>
      <c r="CC137" s="33">
        <v>22.227777777777778</v>
      </c>
      <c r="CD137" s="33">
        <v>26.655555555555555</v>
      </c>
      <c r="CE137" s="33">
        <v>21.144444444444446</v>
      </c>
      <c r="CF137" s="33">
        <v>14</v>
      </c>
      <c r="CG137" s="33">
        <v>0</v>
      </c>
      <c r="CH137" s="33">
        <v>0</v>
      </c>
      <c r="CI137" s="33">
        <v>0</v>
      </c>
      <c r="CJ137" s="33">
        <v>0</v>
      </c>
      <c r="CK137" s="33">
        <v>205.48888888888891</v>
      </c>
      <c r="CL137" s="33">
        <v>35.144444444444446</v>
      </c>
      <c r="CM137" s="33">
        <v>0</v>
      </c>
      <c r="CN137" s="33">
        <v>269.51666666666665</v>
      </c>
      <c r="CO137" s="33">
        <v>240.63333333333335</v>
      </c>
      <c r="CP137" s="33">
        <v>269.51666666666665</v>
      </c>
      <c r="CQ137" s="33">
        <v>49.688888888888897</v>
      </c>
      <c r="CR137" s="33">
        <v>0.62777777777777799</v>
      </c>
      <c r="CS137" s="33">
        <v>50.316666666666677</v>
      </c>
      <c r="CT137" s="33">
        <v>0</v>
      </c>
      <c r="CU137" s="33">
        <v>39</v>
      </c>
      <c r="CV137" s="32">
        <v>0</v>
      </c>
      <c r="CW137" s="32">
        <v>39</v>
      </c>
      <c r="CX137" s="32">
        <v>27</v>
      </c>
      <c r="CY137" s="32">
        <v>40</v>
      </c>
      <c r="CZ137" s="32">
        <v>36</v>
      </c>
      <c r="DA137" s="32">
        <v>40</v>
      </c>
      <c r="DB137" s="32">
        <v>32</v>
      </c>
      <c r="DC137" s="32">
        <v>21</v>
      </c>
      <c r="DD137" s="32">
        <v>23</v>
      </c>
      <c r="DE137" s="32">
        <v>21</v>
      </c>
      <c r="DF137" s="32">
        <v>0</v>
      </c>
      <c r="DG137" s="32">
        <v>0</v>
      </c>
      <c r="DH137" s="32">
        <v>0</v>
      </c>
      <c r="DI137" s="32">
        <v>0</v>
      </c>
      <c r="DJ137" s="32">
        <v>196</v>
      </c>
      <c r="DK137" s="32">
        <v>44</v>
      </c>
      <c r="DL137" s="32">
        <v>0</v>
      </c>
      <c r="DM137" s="32">
        <v>279</v>
      </c>
      <c r="DN137" s="32">
        <v>240</v>
      </c>
      <c r="DO137" s="32">
        <v>279</v>
      </c>
      <c r="DP137" s="32">
        <v>0</v>
      </c>
      <c r="DQ137" s="32">
        <v>104</v>
      </c>
      <c r="DR137" s="32">
        <v>44</v>
      </c>
      <c r="DS137" s="32">
        <v>1</v>
      </c>
      <c r="DT137" s="32">
        <v>45</v>
      </c>
      <c r="DU137" s="32">
        <v>13</v>
      </c>
      <c r="DV137" s="33">
        <v>19</v>
      </c>
      <c r="DW137" s="33">
        <v>18</v>
      </c>
      <c r="DX137" s="33">
        <v>13.86</v>
      </c>
      <c r="DY137" s="33">
        <v>2.6399999999999997</v>
      </c>
      <c r="DZ137" s="33">
        <v>0</v>
      </c>
      <c r="EA137" s="33">
        <v>19</v>
      </c>
      <c r="EB137" s="34">
        <v>0.10250225174510241</v>
      </c>
      <c r="EC137" s="32"/>
      <c r="ED137" s="32">
        <v>39</v>
      </c>
      <c r="EE137" s="32">
        <v>238</v>
      </c>
      <c r="EF137" s="32">
        <v>194</v>
      </c>
      <c r="EG137" s="32">
        <v>44</v>
      </c>
      <c r="EH137" s="32">
        <v>0</v>
      </c>
      <c r="EI137" s="32">
        <v>277</v>
      </c>
      <c r="EJ137" s="32">
        <v>0</v>
      </c>
      <c r="EK137" s="32">
        <v>50</v>
      </c>
      <c r="EL137" s="32">
        <v>50</v>
      </c>
      <c r="EM137" s="32">
        <v>49</v>
      </c>
      <c r="EN137" s="32">
        <v>1</v>
      </c>
      <c r="EO137" s="32">
        <v>0</v>
      </c>
      <c r="EP137" s="33">
        <v>10.65</v>
      </c>
      <c r="EQ137" s="33">
        <v>0</v>
      </c>
      <c r="ER137" s="33">
        <v>4.05</v>
      </c>
      <c r="ES137" s="33">
        <v>1</v>
      </c>
      <c r="ET137" s="33">
        <v>4</v>
      </c>
      <c r="EU137" s="33">
        <v>19.7</v>
      </c>
    </row>
    <row r="138" spans="1:151" ht="41.4" x14ac:dyDescent="0.3">
      <c r="A138" s="25" t="s">
        <v>135</v>
      </c>
      <c r="B138" s="26" t="s">
        <v>368</v>
      </c>
      <c r="C138" s="27" t="s">
        <v>728</v>
      </c>
      <c r="D138" s="27" t="s">
        <v>272</v>
      </c>
      <c r="E138" s="26" t="s">
        <v>504</v>
      </c>
      <c r="F138" s="26" t="s">
        <v>504</v>
      </c>
      <c r="G138" s="28">
        <v>85.37222222222222</v>
      </c>
      <c r="H138" s="28">
        <v>5.7777777777777777</v>
      </c>
      <c r="I138" s="29">
        <v>0</v>
      </c>
      <c r="J138" s="29">
        <v>0</v>
      </c>
      <c r="K138" s="29">
        <v>131</v>
      </c>
      <c r="L138" s="29">
        <v>333</v>
      </c>
      <c r="M138" s="29">
        <v>464</v>
      </c>
      <c r="N138" s="29">
        <v>464</v>
      </c>
      <c r="O138" s="29">
        <v>131</v>
      </c>
      <c r="P138" s="29">
        <v>11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64.188888888888883</v>
      </c>
      <c r="Y138" s="27">
        <v>59.833333333333336</v>
      </c>
      <c r="Z138" s="27">
        <v>92.15</v>
      </c>
      <c r="AA138" s="27">
        <v>94.261111111111106</v>
      </c>
      <c r="AB138" s="27">
        <v>78.927777777777777</v>
      </c>
      <c r="AC138" s="27">
        <v>47.461111111111109</v>
      </c>
      <c r="AD138" s="27">
        <v>0</v>
      </c>
      <c r="AE138" s="27">
        <v>124.02222222222221</v>
      </c>
      <c r="AF138" s="27">
        <v>312.79999999999995</v>
      </c>
      <c r="AG138" s="27">
        <v>124.02222222222221</v>
      </c>
      <c r="AH138" s="27">
        <v>436.82222222222219</v>
      </c>
      <c r="AI138" s="27">
        <v>436.82222222222219</v>
      </c>
      <c r="AJ138" s="28">
        <v>98.3</v>
      </c>
      <c r="AK138" s="28">
        <v>9.4166666666666661</v>
      </c>
      <c r="AL138" s="28">
        <v>107.71666666666667</v>
      </c>
      <c r="AM138" s="29">
        <v>0</v>
      </c>
      <c r="AN138" s="35">
        <v>0</v>
      </c>
      <c r="AO138" s="27">
        <v>0</v>
      </c>
      <c r="AP138" s="27">
        <v>0</v>
      </c>
      <c r="AQ138" s="27">
        <v>0</v>
      </c>
      <c r="AR138" s="27">
        <v>0</v>
      </c>
      <c r="AS138" s="27">
        <v>0</v>
      </c>
      <c r="AT138" s="27">
        <v>70</v>
      </c>
      <c r="AU138" s="27">
        <v>76</v>
      </c>
      <c r="AV138" s="27">
        <v>90</v>
      </c>
      <c r="AW138" s="27">
        <v>88</v>
      </c>
      <c r="AX138" s="27">
        <v>96</v>
      </c>
      <c r="AY138" s="27">
        <v>75</v>
      </c>
      <c r="AZ138" s="27">
        <v>0</v>
      </c>
      <c r="BA138" s="27">
        <v>146</v>
      </c>
      <c r="BB138" s="27">
        <v>349</v>
      </c>
      <c r="BC138" s="27">
        <v>146</v>
      </c>
      <c r="BD138" s="27">
        <v>495</v>
      </c>
      <c r="BE138" s="27">
        <v>495</v>
      </c>
      <c r="BF138" s="27">
        <v>0</v>
      </c>
      <c r="BG138" s="27">
        <v>0</v>
      </c>
      <c r="BH138" s="27">
        <v>3</v>
      </c>
      <c r="BI138" s="27">
        <v>197</v>
      </c>
      <c r="BJ138" s="27">
        <v>92</v>
      </c>
      <c r="BK138" s="29">
        <v>13</v>
      </c>
      <c r="BL138" s="29">
        <v>105</v>
      </c>
      <c r="BM138" s="29">
        <v>52</v>
      </c>
      <c r="BN138" s="30">
        <v>6.4912371134020652E-2</v>
      </c>
      <c r="BO138" s="31">
        <v>32.271000000000001</v>
      </c>
      <c r="BP138" s="31">
        <v>31.271000000000001</v>
      </c>
      <c r="BQ138" s="31">
        <v>31.271000000000001</v>
      </c>
      <c r="BR138" s="31">
        <v>33.271000000000001</v>
      </c>
      <c r="BS138" s="32">
        <v>0</v>
      </c>
      <c r="BT138" s="32">
        <v>0</v>
      </c>
      <c r="BU138" s="33">
        <v>0</v>
      </c>
      <c r="BV138" s="33">
        <v>0</v>
      </c>
      <c r="BW138" s="33">
        <v>0</v>
      </c>
      <c r="BX138" s="33">
        <v>0</v>
      </c>
      <c r="BY138" s="33">
        <v>0</v>
      </c>
      <c r="BZ138" s="33">
        <v>0</v>
      </c>
      <c r="CA138" s="33">
        <v>0</v>
      </c>
      <c r="CB138" s="33">
        <v>0</v>
      </c>
      <c r="CC138" s="33">
        <v>0</v>
      </c>
      <c r="CD138" s="33">
        <v>0</v>
      </c>
      <c r="CE138" s="33">
        <v>65.827777777777783</v>
      </c>
      <c r="CF138" s="33">
        <v>70.25555555555556</v>
      </c>
      <c r="CG138" s="33">
        <v>78.25</v>
      </c>
      <c r="CH138" s="33">
        <v>77.577777777777783</v>
      </c>
      <c r="CI138" s="33">
        <v>87.35</v>
      </c>
      <c r="CJ138" s="33">
        <v>63.844444444444441</v>
      </c>
      <c r="CK138" s="33">
        <v>0</v>
      </c>
      <c r="CL138" s="33">
        <v>136.08333333333334</v>
      </c>
      <c r="CM138" s="33">
        <v>307.02222222222224</v>
      </c>
      <c r="CN138" s="33">
        <v>136.08333333333334</v>
      </c>
      <c r="CO138" s="33">
        <v>443.10555555555561</v>
      </c>
      <c r="CP138" s="33">
        <v>443.10555555555561</v>
      </c>
      <c r="CQ138" s="33">
        <v>88.45</v>
      </c>
      <c r="CR138" s="33">
        <v>10.1944444444444</v>
      </c>
      <c r="CS138" s="33">
        <v>98.644444444444403</v>
      </c>
      <c r="CT138" s="33">
        <v>0</v>
      </c>
      <c r="CU138" s="33">
        <v>0</v>
      </c>
      <c r="CV138" s="32">
        <v>0</v>
      </c>
      <c r="CW138" s="32">
        <v>0</v>
      </c>
      <c r="CX138" s="32">
        <v>0</v>
      </c>
      <c r="CY138" s="32">
        <v>0</v>
      </c>
      <c r="CZ138" s="32">
        <v>0</v>
      </c>
      <c r="DA138" s="32">
        <v>0</v>
      </c>
      <c r="DB138" s="32">
        <v>0</v>
      </c>
      <c r="DC138" s="32">
        <v>0</v>
      </c>
      <c r="DD138" s="32">
        <v>56</v>
      </c>
      <c r="DE138" s="32">
        <v>74</v>
      </c>
      <c r="DF138" s="32">
        <v>90</v>
      </c>
      <c r="DG138" s="32">
        <v>68</v>
      </c>
      <c r="DH138" s="32">
        <v>77</v>
      </c>
      <c r="DI138" s="32">
        <v>88</v>
      </c>
      <c r="DJ138" s="32">
        <v>0</v>
      </c>
      <c r="DK138" s="32">
        <v>130</v>
      </c>
      <c r="DL138" s="32">
        <v>323</v>
      </c>
      <c r="DM138" s="32">
        <v>130</v>
      </c>
      <c r="DN138" s="32">
        <v>453</v>
      </c>
      <c r="DO138" s="32">
        <v>453</v>
      </c>
      <c r="DP138" s="32">
        <v>5</v>
      </c>
      <c r="DQ138" s="32">
        <v>154</v>
      </c>
      <c r="DR138" s="32">
        <v>90</v>
      </c>
      <c r="DS138" s="32">
        <v>9</v>
      </c>
      <c r="DT138" s="32">
        <v>99</v>
      </c>
      <c r="DU138" s="32">
        <v>23</v>
      </c>
      <c r="DV138" s="33">
        <v>36.069000000000003</v>
      </c>
      <c r="DW138" s="33">
        <v>35.069000000000003</v>
      </c>
      <c r="DX138" s="33">
        <v>0</v>
      </c>
      <c r="DY138" s="33">
        <v>31.117000000000001</v>
      </c>
      <c r="DZ138" s="33">
        <v>0</v>
      </c>
      <c r="EA138" s="33">
        <v>37.548999999999999</v>
      </c>
      <c r="EB138" s="34">
        <v>6.1644789180588744E-2</v>
      </c>
      <c r="EC138" s="32"/>
      <c r="ED138" s="32">
        <v>0</v>
      </c>
      <c r="EE138" s="32">
        <v>452</v>
      </c>
      <c r="EF138" s="32">
        <v>0</v>
      </c>
      <c r="EG138" s="32">
        <v>121</v>
      </c>
      <c r="EH138" s="32">
        <v>331</v>
      </c>
      <c r="EI138" s="32">
        <v>452</v>
      </c>
      <c r="EJ138" s="32">
        <v>0</v>
      </c>
      <c r="EK138" s="32">
        <v>97</v>
      </c>
      <c r="EL138" s="32">
        <v>97</v>
      </c>
      <c r="EM138" s="32">
        <v>89</v>
      </c>
      <c r="EN138" s="32">
        <v>8</v>
      </c>
      <c r="EO138" s="32">
        <v>5</v>
      </c>
      <c r="EP138" s="33">
        <v>9.25</v>
      </c>
      <c r="EQ138" s="33">
        <v>0</v>
      </c>
      <c r="ER138" s="33">
        <v>5.5</v>
      </c>
      <c r="ES138" s="33">
        <v>0</v>
      </c>
      <c r="ET138" s="33">
        <v>8.4499999999999993</v>
      </c>
      <c r="EU138" s="33">
        <v>23.2</v>
      </c>
    </row>
    <row r="139" spans="1:151" ht="27.6" x14ac:dyDescent="0.3">
      <c r="A139" s="25" t="s">
        <v>153</v>
      </c>
      <c r="B139" s="26" t="s">
        <v>381</v>
      </c>
      <c r="C139" s="27" t="s">
        <v>154</v>
      </c>
      <c r="D139" s="27" t="s">
        <v>272</v>
      </c>
      <c r="E139" s="26" t="s">
        <v>504</v>
      </c>
      <c r="F139" s="26" t="s">
        <v>504</v>
      </c>
      <c r="G139" s="28">
        <v>171.05555555555554</v>
      </c>
      <c r="H139" s="28">
        <v>1.8388888888888888</v>
      </c>
      <c r="I139" s="29">
        <v>160</v>
      </c>
      <c r="J139" s="29">
        <v>923</v>
      </c>
      <c r="K139" s="29">
        <v>186</v>
      </c>
      <c r="L139" s="29">
        <v>77</v>
      </c>
      <c r="M139" s="29">
        <v>1346</v>
      </c>
      <c r="N139" s="29">
        <v>1186</v>
      </c>
      <c r="O139" s="29">
        <v>1269</v>
      </c>
      <c r="P139" s="29">
        <v>3</v>
      </c>
      <c r="Q139" s="27">
        <v>156.60555555555555</v>
      </c>
      <c r="R139" s="27">
        <v>189.49444444444444</v>
      </c>
      <c r="S139" s="27">
        <v>155</v>
      </c>
      <c r="T139" s="27">
        <v>155.44444444444446</v>
      </c>
      <c r="U139" s="27">
        <v>153.86111111111111</v>
      </c>
      <c r="V139" s="27">
        <v>122.16666666666667</v>
      </c>
      <c r="W139" s="27">
        <v>133</v>
      </c>
      <c r="X139" s="27">
        <v>101.29444444444445</v>
      </c>
      <c r="Y139" s="27">
        <v>80.461111111111109</v>
      </c>
      <c r="Z139" s="27">
        <v>74.083333333333329</v>
      </c>
      <c r="AA139" s="27">
        <v>0</v>
      </c>
      <c r="AB139" s="27">
        <v>0</v>
      </c>
      <c r="AC139" s="27">
        <v>0</v>
      </c>
      <c r="AD139" s="27">
        <v>908.96666666666658</v>
      </c>
      <c r="AE139" s="27">
        <v>181.75555555555556</v>
      </c>
      <c r="AF139" s="27">
        <v>74.083333333333329</v>
      </c>
      <c r="AG139" s="27">
        <v>1247.3277777777776</v>
      </c>
      <c r="AH139" s="27">
        <v>1164.8055555555554</v>
      </c>
      <c r="AI139" s="27">
        <v>1321.4111111111108</v>
      </c>
      <c r="AJ139" s="28">
        <v>136.42222222222222</v>
      </c>
      <c r="AK139" s="28">
        <v>5.6333333333333337</v>
      </c>
      <c r="AL139" s="28">
        <v>142.05555555555554</v>
      </c>
      <c r="AM139" s="29">
        <v>202</v>
      </c>
      <c r="AN139" s="35">
        <v>156</v>
      </c>
      <c r="AO139" s="27">
        <v>179</v>
      </c>
      <c r="AP139" s="27">
        <v>147</v>
      </c>
      <c r="AQ139" s="27">
        <v>160</v>
      </c>
      <c r="AR139" s="27">
        <v>153</v>
      </c>
      <c r="AS139" s="27">
        <v>122</v>
      </c>
      <c r="AT139" s="27">
        <v>104</v>
      </c>
      <c r="AU139" s="27">
        <v>100</v>
      </c>
      <c r="AV139" s="27">
        <v>79</v>
      </c>
      <c r="AW139" s="27">
        <v>0</v>
      </c>
      <c r="AX139" s="27">
        <v>0</v>
      </c>
      <c r="AY139" s="27">
        <v>0</v>
      </c>
      <c r="AZ139" s="27">
        <v>917</v>
      </c>
      <c r="BA139" s="27">
        <v>204</v>
      </c>
      <c r="BB139" s="27">
        <v>79</v>
      </c>
      <c r="BC139" s="27">
        <v>1323</v>
      </c>
      <c r="BD139" s="27">
        <v>1200</v>
      </c>
      <c r="BE139" s="27">
        <v>1402</v>
      </c>
      <c r="BF139" s="27">
        <v>202</v>
      </c>
      <c r="BG139" s="27">
        <v>0</v>
      </c>
      <c r="BH139" s="27">
        <v>0</v>
      </c>
      <c r="BI139" s="27">
        <v>401</v>
      </c>
      <c r="BJ139" s="27">
        <v>191</v>
      </c>
      <c r="BK139" s="29">
        <v>10</v>
      </c>
      <c r="BL139" s="29">
        <v>201</v>
      </c>
      <c r="BM139" s="29">
        <v>128</v>
      </c>
      <c r="BN139" s="30">
        <v>7.1274516026658241E-2</v>
      </c>
      <c r="BO139" s="31">
        <v>87.85</v>
      </c>
      <c r="BP139" s="31">
        <v>84.35</v>
      </c>
      <c r="BQ139" s="31">
        <v>84.35</v>
      </c>
      <c r="BR139" s="31">
        <v>87.84999999999998</v>
      </c>
      <c r="BS139" s="32">
        <v>0</v>
      </c>
      <c r="BT139" s="32">
        <v>0</v>
      </c>
      <c r="BU139" s="33">
        <v>0</v>
      </c>
      <c r="BV139" s="33">
        <v>0</v>
      </c>
      <c r="BW139" s="33">
        <v>200.59444400000001</v>
      </c>
      <c r="BX139" s="33">
        <v>200.59444444444443</v>
      </c>
      <c r="BY139" s="33">
        <v>152.44444444444446</v>
      </c>
      <c r="BZ139" s="33">
        <v>178.03888888888889</v>
      </c>
      <c r="CA139" s="33">
        <v>143.73333333333332</v>
      </c>
      <c r="CB139" s="33">
        <v>156.55555555555554</v>
      </c>
      <c r="CC139" s="33">
        <v>151.0611111111111</v>
      </c>
      <c r="CD139" s="33">
        <v>118.62222222222222</v>
      </c>
      <c r="CE139" s="33">
        <v>101.39444444444445</v>
      </c>
      <c r="CF139" s="33">
        <v>97.87222222222222</v>
      </c>
      <c r="CG139" s="33">
        <v>73.561111111111117</v>
      </c>
      <c r="CH139" s="33">
        <v>0</v>
      </c>
      <c r="CI139" s="33">
        <v>0</v>
      </c>
      <c r="CJ139" s="33">
        <v>0</v>
      </c>
      <c r="CK139" s="33">
        <v>900.45555555555563</v>
      </c>
      <c r="CL139" s="33">
        <v>199.26666666666665</v>
      </c>
      <c r="CM139" s="33">
        <v>73.561111111111117</v>
      </c>
      <c r="CN139" s="33">
        <v>1300.3166666666666</v>
      </c>
      <c r="CO139" s="33">
        <v>1173.2833333333335</v>
      </c>
      <c r="CP139" s="33">
        <v>1373.8777777777777</v>
      </c>
      <c r="CQ139" s="33">
        <v>201.31111111111099</v>
      </c>
      <c r="CR139" s="33">
        <v>8.2888888888888896</v>
      </c>
      <c r="CS139" s="33">
        <v>209.59999999999988</v>
      </c>
      <c r="CT139" s="33">
        <v>0</v>
      </c>
      <c r="CU139" s="33">
        <v>159</v>
      </c>
      <c r="CV139" s="32">
        <v>0</v>
      </c>
      <c r="CW139" s="32">
        <v>159</v>
      </c>
      <c r="CX139" s="32">
        <v>186</v>
      </c>
      <c r="CY139" s="32">
        <v>152</v>
      </c>
      <c r="CZ139" s="32">
        <v>181</v>
      </c>
      <c r="DA139" s="32">
        <v>136</v>
      </c>
      <c r="DB139" s="32">
        <v>158</v>
      </c>
      <c r="DC139" s="32">
        <v>150</v>
      </c>
      <c r="DD139" s="32">
        <v>94</v>
      </c>
      <c r="DE139" s="32">
        <v>90</v>
      </c>
      <c r="DF139" s="32">
        <v>58</v>
      </c>
      <c r="DG139" s="32">
        <v>0</v>
      </c>
      <c r="DH139" s="32">
        <v>0</v>
      </c>
      <c r="DI139" s="32">
        <v>0</v>
      </c>
      <c r="DJ139" s="32">
        <v>963</v>
      </c>
      <c r="DK139" s="32">
        <v>184</v>
      </c>
      <c r="DL139" s="32">
        <v>58</v>
      </c>
      <c r="DM139" s="32">
        <v>1306</v>
      </c>
      <c r="DN139" s="32">
        <v>1205</v>
      </c>
      <c r="DO139" s="32">
        <v>1364</v>
      </c>
      <c r="DP139" s="32">
        <v>0</v>
      </c>
      <c r="DQ139" s="32">
        <v>359</v>
      </c>
      <c r="DR139" s="32">
        <v>197</v>
      </c>
      <c r="DS139" s="32">
        <v>11</v>
      </c>
      <c r="DT139" s="32">
        <v>208</v>
      </c>
      <c r="DU139" s="32">
        <v>109</v>
      </c>
      <c r="DV139" s="33">
        <v>91.73</v>
      </c>
      <c r="DW139" s="33">
        <v>88.23</v>
      </c>
      <c r="DX139" s="33">
        <v>54</v>
      </c>
      <c r="DY139" s="33">
        <v>20.85</v>
      </c>
      <c r="DZ139" s="33">
        <v>0</v>
      </c>
      <c r="EA139" s="33">
        <v>93.73</v>
      </c>
      <c r="EB139" s="34">
        <v>6.7305203632211208E-2</v>
      </c>
      <c r="EC139" s="32"/>
      <c r="ED139" s="32">
        <v>151</v>
      </c>
      <c r="EE139" s="32">
        <v>1208</v>
      </c>
      <c r="EF139" s="32">
        <v>954</v>
      </c>
      <c r="EG139" s="32">
        <v>175</v>
      </c>
      <c r="EH139" s="32">
        <v>79</v>
      </c>
      <c r="EI139" s="32">
        <v>1359</v>
      </c>
      <c r="EJ139" s="32">
        <v>0</v>
      </c>
      <c r="EK139" s="32">
        <v>205</v>
      </c>
      <c r="EL139" s="32">
        <v>205</v>
      </c>
      <c r="EM139" s="32">
        <v>191</v>
      </c>
      <c r="EN139" s="32">
        <v>14</v>
      </c>
      <c r="EO139" s="32">
        <v>4</v>
      </c>
      <c r="EP139" s="33">
        <v>41.637999999999998</v>
      </c>
      <c r="EQ139" s="33">
        <v>1.675</v>
      </c>
      <c r="ER139" s="33">
        <v>3.113</v>
      </c>
      <c r="ES139" s="33">
        <v>0.875</v>
      </c>
      <c r="ET139" s="33">
        <v>13.85</v>
      </c>
      <c r="EU139" s="33">
        <v>61.150999999999996</v>
      </c>
    </row>
    <row r="140" spans="1:151" ht="69" x14ac:dyDescent="0.3">
      <c r="A140" s="25" t="s">
        <v>170</v>
      </c>
      <c r="B140" s="26" t="s">
        <v>395</v>
      </c>
      <c r="C140" s="27" t="s">
        <v>729</v>
      </c>
      <c r="D140" s="27" t="s">
        <v>272</v>
      </c>
      <c r="E140" s="26" t="s">
        <v>504</v>
      </c>
      <c r="F140" s="26" t="s">
        <v>504</v>
      </c>
      <c r="G140" s="28">
        <v>58.577777777777776</v>
      </c>
      <c r="H140" s="28">
        <v>4.7388888888888889</v>
      </c>
      <c r="I140" s="29">
        <v>66</v>
      </c>
      <c r="J140" s="29">
        <v>365</v>
      </c>
      <c r="K140" s="29">
        <v>0</v>
      </c>
      <c r="L140" s="29">
        <v>0</v>
      </c>
      <c r="M140" s="29">
        <v>431</v>
      </c>
      <c r="N140" s="29">
        <v>365</v>
      </c>
      <c r="O140" s="29">
        <v>431</v>
      </c>
      <c r="P140" s="29">
        <v>5</v>
      </c>
      <c r="Q140" s="27">
        <v>63.338888888888889</v>
      </c>
      <c r="R140" s="27">
        <v>67.044444444444451</v>
      </c>
      <c r="S140" s="27">
        <v>65.12222222222222</v>
      </c>
      <c r="T140" s="27">
        <v>66.88333333333334</v>
      </c>
      <c r="U140" s="27">
        <v>48.361111111111114</v>
      </c>
      <c r="V140" s="27">
        <v>53.944444444444443</v>
      </c>
      <c r="W140" s="27">
        <v>50.794444444444444</v>
      </c>
      <c r="X140" s="27">
        <v>0</v>
      </c>
      <c r="Y140" s="27">
        <v>0</v>
      </c>
      <c r="Z140" s="27">
        <v>0</v>
      </c>
      <c r="AA140" s="27">
        <v>0</v>
      </c>
      <c r="AB140" s="27">
        <v>0</v>
      </c>
      <c r="AC140" s="27">
        <v>0</v>
      </c>
      <c r="AD140" s="27">
        <v>352.15</v>
      </c>
      <c r="AE140" s="27">
        <v>0</v>
      </c>
      <c r="AF140" s="27">
        <v>0</v>
      </c>
      <c r="AG140" s="27">
        <v>415.48888888888888</v>
      </c>
      <c r="AH140" s="27">
        <v>352.15</v>
      </c>
      <c r="AI140" s="27">
        <v>415.48888888888888</v>
      </c>
      <c r="AJ140" s="28">
        <v>66.644444444444446</v>
      </c>
      <c r="AK140" s="28">
        <v>4</v>
      </c>
      <c r="AL140" s="28">
        <v>70.644444444444446</v>
      </c>
      <c r="AM140" s="29">
        <v>61</v>
      </c>
      <c r="AN140" s="35">
        <v>65</v>
      </c>
      <c r="AO140" s="27">
        <v>72</v>
      </c>
      <c r="AP140" s="27">
        <v>68</v>
      </c>
      <c r="AQ140" s="27">
        <v>65</v>
      </c>
      <c r="AR140" s="27">
        <v>50</v>
      </c>
      <c r="AS140" s="27">
        <v>53</v>
      </c>
      <c r="AT140" s="27">
        <v>0</v>
      </c>
      <c r="AU140" s="27">
        <v>0</v>
      </c>
      <c r="AV140" s="27">
        <v>0</v>
      </c>
      <c r="AW140" s="27">
        <v>0</v>
      </c>
      <c r="AX140" s="27">
        <v>0</v>
      </c>
      <c r="AY140" s="27">
        <v>0</v>
      </c>
      <c r="AZ140" s="27">
        <v>373</v>
      </c>
      <c r="BA140" s="27">
        <v>0</v>
      </c>
      <c r="BB140" s="27">
        <v>0</v>
      </c>
      <c r="BC140" s="27">
        <v>434</v>
      </c>
      <c r="BD140" s="27">
        <v>373</v>
      </c>
      <c r="BE140" s="27">
        <v>434</v>
      </c>
      <c r="BF140" s="27">
        <v>0</v>
      </c>
      <c r="BG140" s="27">
        <v>61</v>
      </c>
      <c r="BH140" s="27">
        <v>0</v>
      </c>
      <c r="BI140" s="27">
        <v>150</v>
      </c>
      <c r="BJ140" s="27">
        <v>57</v>
      </c>
      <c r="BK140" s="29">
        <v>2</v>
      </c>
      <c r="BL140" s="29">
        <v>59</v>
      </c>
      <c r="BM140" s="29">
        <v>24</v>
      </c>
      <c r="BN140" s="30">
        <v>8.3522727272727304E-2</v>
      </c>
      <c r="BO140" s="31">
        <v>25.5</v>
      </c>
      <c r="BP140" s="31">
        <v>23.5</v>
      </c>
      <c r="BQ140" s="31">
        <v>22.5</v>
      </c>
      <c r="BR140" s="31">
        <v>25.5</v>
      </c>
      <c r="BS140" s="32">
        <v>0</v>
      </c>
      <c r="BT140" s="32">
        <v>0</v>
      </c>
      <c r="BU140" s="33">
        <v>0</v>
      </c>
      <c r="BV140" s="33">
        <v>59.838887999999997</v>
      </c>
      <c r="BW140" s="33">
        <v>0</v>
      </c>
      <c r="BX140" s="33">
        <v>59.838888888888889</v>
      </c>
      <c r="BY140" s="33">
        <v>63.711111111111109</v>
      </c>
      <c r="BZ140" s="33">
        <v>69.466666666666669</v>
      </c>
      <c r="CA140" s="33">
        <v>66.650000000000006</v>
      </c>
      <c r="CB140" s="33">
        <v>62.705555555555556</v>
      </c>
      <c r="CC140" s="33">
        <v>48.983333333333334</v>
      </c>
      <c r="CD140" s="33">
        <v>52.144444444444446</v>
      </c>
      <c r="CE140" s="33">
        <v>0</v>
      </c>
      <c r="CF140" s="33">
        <v>0</v>
      </c>
      <c r="CG140" s="33">
        <v>0</v>
      </c>
      <c r="CH140" s="33">
        <v>0</v>
      </c>
      <c r="CI140" s="33">
        <v>0</v>
      </c>
      <c r="CJ140" s="33">
        <v>0</v>
      </c>
      <c r="CK140" s="33">
        <v>363.66111111111115</v>
      </c>
      <c r="CL140" s="33">
        <v>0</v>
      </c>
      <c r="CM140" s="33">
        <v>0</v>
      </c>
      <c r="CN140" s="33">
        <v>423.5</v>
      </c>
      <c r="CO140" s="33">
        <v>363.66111111111115</v>
      </c>
      <c r="CP140" s="33">
        <v>423.5</v>
      </c>
      <c r="CQ140" s="33">
        <v>61.655555555555601</v>
      </c>
      <c r="CR140" s="33">
        <v>2.6111111111111098</v>
      </c>
      <c r="CS140" s="33">
        <v>64.266666666666708</v>
      </c>
      <c r="CT140" s="33">
        <v>0</v>
      </c>
      <c r="CU140" s="33">
        <v>0</v>
      </c>
      <c r="CV140" s="32">
        <v>63</v>
      </c>
      <c r="CW140" s="32">
        <v>63</v>
      </c>
      <c r="CX140" s="32">
        <v>67</v>
      </c>
      <c r="CY140" s="32">
        <v>71</v>
      </c>
      <c r="CZ140" s="32">
        <v>73</v>
      </c>
      <c r="DA140" s="32">
        <v>63</v>
      </c>
      <c r="DB140" s="32">
        <v>57</v>
      </c>
      <c r="DC140" s="32">
        <v>49</v>
      </c>
      <c r="DD140" s="32">
        <v>0</v>
      </c>
      <c r="DE140" s="32">
        <v>0</v>
      </c>
      <c r="DF140" s="32">
        <v>0</v>
      </c>
      <c r="DG140" s="32">
        <v>0</v>
      </c>
      <c r="DH140" s="32">
        <v>0</v>
      </c>
      <c r="DI140" s="32">
        <v>0</v>
      </c>
      <c r="DJ140" s="32">
        <v>380</v>
      </c>
      <c r="DK140" s="32">
        <v>0</v>
      </c>
      <c r="DL140" s="32">
        <v>0</v>
      </c>
      <c r="DM140" s="32">
        <v>443</v>
      </c>
      <c r="DN140" s="32">
        <v>380</v>
      </c>
      <c r="DO140" s="32">
        <v>443</v>
      </c>
      <c r="DP140" s="32">
        <v>0</v>
      </c>
      <c r="DQ140" s="32">
        <v>149</v>
      </c>
      <c r="DR140" s="32">
        <v>65</v>
      </c>
      <c r="DS140" s="32">
        <v>3</v>
      </c>
      <c r="DT140" s="32">
        <v>68</v>
      </c>
      <c r="DU140" s="32">
        <v>22</v>
      </c>
      <c r="DV140" s="33">
        <v>26</v>
      </c>
      <c r="DW140" s="33">
        <v>24</v>
      </c>
      <c r="DX140" s="33">
        <v>23</v>
      </c>
      <c r="DY140" s="33">
        <v>0</v>
      </c>
      <c r="DZ140" s="33">
        <v>0</v>
      </c>
      <c r="EA140" s="33">
        <v>26</v>
      </c>
      <c r="EB140" s="34">
        <v>7.8431372549019607E-2</v>
      </c>
      <c r="EC140" s="32"/>
      <c r="ED140" s="32">
        <v>62</v>
      </c>
      <c r="EE140" s="32">
        <v>379</v>
      </c>
      <c r="EF140" s="32">
        <v>379</v>
      </c>
      <c r="EG140" s="32">
        <v>0</v>
      </c>
      <c r="EH140" s="32">
        <v>0</v>
      </c>
      <c r="EI140" s="32">
        <v>441</v>
      </c>
      <c r="EJ140" s="32">
        <v>0</v>
      </c>
      <c r="EK140" s="32">
        <v>68</v>
      </c>
      <c r="EL140" s="32">
        <v>68</v>
      </c>
      <c r="EM140" s="32">
        <v>66</v>
      </c>
      <c r="EN140" s="32">
        <v>2</v>
      </c>
      <c r="EO140" s="32">
        <v>0</v>
      </c>
      <c r="EP140" s="33">
        <v>13.57</v>
      </c>
      <c r="EQ140" s="33">
        <v>0.5</v>
      </c>
      <c r="ER140" s="33">
        <v>1.83</v>
      </c>
      <c r="ES140" s="33">
        <v>0</v>
      </c>
      <c r="ET140" s="33">
        <v>4.78</v>
      </c>
      <c r="EU140" s="33">
        <v>20.68</v>
      </c>
    </row>
    <row r="141" spans="1:151" ht="27.6" x14ac:dyDescent="0.3">
      <c r="A141" s="25" t="s">
        <v>182</v>
      </c>
      <c r="B141" s="26" t="s">
        <v>405</v>
      </c>
      <c r="C141" s="27" t="s">
        <v>730</v>
      </c>
      <c r="D141" s="27" t="s">
        <v>272</v>
      </c>
      <c r="E141" s="26" t="s">
        <v>504</v>
      </c>
      <c r="F141" s="26" t="s">
        <v>504</v>
      </c>
      <c r="G141" s="28">
        <v>80.177777777777777</v>
      </c>
      <c r="H141" s="28">
        <v>0</v>
      </c>
      <c r="I141" s="29">
        <v>71</v>
      </c>
      <c r="J141" s="29">
        <v>370</v>
      </c>
      <c r="K141" s="29">
        <v>90</v>
      </c>
      <c r="L141" s="29">
        <v>0</v>
      </c>
      <c r="M141" s="29">
        <v>531</v>
      </c>
      <c r="N141" s="29">
        <v>460</v>
      </c>
      <c r="O141" s="29">
        <v>531</v>
      </c>
      <c r="P141" s="29">
        <v>0</v>
      </c>
      <c r="Q141" s="27">
        <v>69.5</v>
      </c>
      <c r="R141" s="27">
        <v>69.222222222222229</v>
      </c>
      <c r="S141" s="27">
        <v>66.961111111111109</v>
      </c>
      <c r="T141" s="27">
        <v>51.111111111111114</v>
      </c>
      <c r="U141" s="27">
        <v>75.138888888888886</v>
      </c>
      <c r="V141" s="27">
        <v>52.105555555555554</v>
      </c>
      <c r="W141" s="27">
        <v>49.605555555555554</v>
      </c>
      <c r="X141" s="27">
        <v>51.305555555555557</v>
      </c>
      <c r="Y141" s="27">
        <v>37.422222222222224</v>
      </c>
      <c r="Z141" s="27">
        <v>0</v>
      </c>
      <c r="AA141" s="27">
        <v>0</v>
      </c>
      <c r="AB141" s="27">
        <v>0</v>
      </c>
      <c r="AC141" s="27">
        <v>0</v>
      </c>
      <c r="AD141" s="27">
        <v>364.14444444444445</v>
      </c>
      <c r="AE141" s="27">
        <v>88.727777777777789</v>
      </c>
      <c r="AF141" s="27">
        <v>0</v>
      </c>
      <c r="AG141" s="27">
        <v>522.37222222222226</v>
      </c>
      <c r="AH141" s="27">
        <v>452.87222222222221</v>
      </c>
      <c r="AI141" s="27">
        <v>522.37222222222226</v>
      </c>
      <c r="AJ141" s="28">
        <v>68.038888888888891</v>
      </c>
      <c r="AK141" s="28">
        <v>0</v>
      </c>
      <c r="AL141" s="28">
        <v>68.038888888888891</v>
      </c>
      <c r="AM141" s="29">
        <v>76</v>
      </c>
      <c r="AN141" s="35">
        <v>77</v>
      </c>
      <c r="AO141" s="27">
        <v>69</v>
      </c>
      <c r="AP141" s="27">
        <v>72</v>
      </c>
      <c r="AQ141" s="27">
        <v>58</v>
      </c>
      <c r="AR141" s="27">
        <v>76</v>
      </c>
      <c r="AS141" s="27">
        <v>53</v>
      </c>
      <c r="AT141" s="27">
        <v>53</v>
      </c>
      <c r="AU141" s="27">
        <v>39</v>
      </c>
      <c r="AV141" s="27">
        <v>0</v>
      </c>
      <c r="AW141" s="27">
        <v>0</v>
      </c>
      <c r="AX141" s="27">
        <v>0</v>
      </c>
      <c r="AY141" s="27">
        <v>0</v>
      </c>
      <c r="AZ141" s="27">
        <v>405</v>
      </c>
      <c r="BA141" s="27">
        <v>92</v>
      </c>
      <c r="BB141" s="27">
        <v>0</v>
      </c>
      <c r="BC141" s="27">
        <v>573</v>
      </c>
      <c r="BD141" s="27">
        <v>497</v>
      </c>
      <c r="BE141" s="27">
        <v>573</v>
      </c>
      <c r="BF141" s="27">
        <v>76</v>
      </c>
      <c r="BG141" s="27">
        <v>0</v>
      </c>
      <c r="BH141" s="27">
        <v>0</v>
      </c>
      <c r="BI141" s="27">
        <v>273</v>
      </c>
      <c r="BJ141" s="27">
        <v>76</v>
      </c>
      <c r="BK141" s="29">
        <v>0</v>
      </c>
      <c r="BL141" s="29">
        <v>76</v>
      </c>
      <c r="BM141" s="29">
        <v>35</v>
      </c>
      <c r="BN141" s="30">
        <v>6.3030605967394682E-2</v>
      </c>
      <c r="BO141" s="31">
        <v>37.290999999999997</v>
      </c>
      <c r="BP141" s="31">
        <v>35.290999999999997</v>
      </c>
      <c r="BQ141" s="31">
        <v>34.290999999999997</v>
      </c>
      <c r="BR141" s="31">
        <v>39.408000000000008</v>
      </c>
      <c r="BS141" s="32">
        <v>0</v>
      </c>
      <c r="BT141" s="32">
        <v>0</v>
      </c>
      <c r="BU141" s="33">
        <v>0</v>
      </c>
      <c r="BV141" s="33">
        <v>0</v>
      </c>
      <c r="BW141" s="33">
        <v>74.894443999999993</v>
      </c>
      <c r="BX141" s="33">
        <v>74.894444444444446</v>
      </c>
      <c r="BY141" s="33">
        <v>75.155555555555551</v>
      </c>
      <c r="BZ141" s="33">
        <v>68.794444444444451</v>
      </c>
      <c r="CA141" s="33">
        <v>71.63333333333334</v>
      </c>
      <c r="CB141" s="33">
        <v>57.87222222222222</v>
      </c>
      <c r="CC141" s="33">
        <v>76.63333333333334</v>
      </c>
      <c r="CD141" s="33">
        <v>51.35</v>
      </c>
      <c r="CE141" s="33">
        <v>49.044444444444444</v>
      </c>
      <c r="CF141" s="33">
        <v>37.988888888888887</v>
      </c>
      <c r="CG141" s="33">
        <v>0</v>
      </c>
      <c r="CH141" s="33">
        <v>0</v>
      </c>
      <c r="CI141" s="33">
        <v>0</v>
      </c>
      <c r="CJ141" s="33">
        <v>0</v>
      </c>
      <c r="CK141" s="33">
        <v>401.43888888888887</v>
      </c>
      <c r="CL141" s="33">
        <v>87.033333333333331</v>
      </c>
      <c r="CM141" s="33">
        <v>0</v>
      </c>
      <c r="CN141" s="33">
        <v>563.36666666666679</v>
      </c>
      <c r="CO141" s="33">
        <v>488.47222222222217</v>
      </c>
      <c r="CP141" s="33">
        <v>563.36666666666679</v>
      </c>
      <c r="CQ141" s="33">
        <v>81.511111111111106</v>
      </c>
      <c r="CR141" s="33">
        <v>0</v>
      </c>
      <c r="CS141" s="33">
        <v>81.511111111111106</v>
      </c>
      <c r="CT141" s="33">
        <v>0</v>
      </c>
      <c r="CU141" s="33">
        <v>82</v>
      </c>
      <c r="CV141" s="32">
        <v>0</v>
      </c>
      <c r="CW141" s="32">
        <v>82</v>
      </c>
      <c r="CX141" s="32">
        <v>83</v>
      </c>
      <c r="CY141" s="32">
        <v>85</v>
      </c>
      <c r="CZ141" s="32">
        <v>85</v>
      </c>
      <c r="DA141" s="32">
        <v>77</v>
      </c>
      <c r="DB141" s="32">
        <v>67</v>
      </c>
      <c r="DC141" s="32">
        <v>79</v>
      </c>
      <c r="DD141" s="32">
        <v>58</v>
      </c>
      <c r="DE141" s="32">
        <v>27</v>
      </c>
      <c r="DF141" s="32">
        <v>0</v>
      </c>
      <c r="DG141" s="32">
        <v>0</v>
      </c>
      <c r="DH141" s="32">
        <v>0</v>
      </c>
      <c r="DI141" s="32">
        <v>0</v>
      </c>
      <c r="DJ141" s="32">
        <v>476</v>
      </c>
      <c r="DK141" s="32">
        <v>85</v>
      </c>
      <c r="DL141" s="32">
        <v>0</v>
      </c>
      <c r="DM141" s="32">
        <v>643</v>
      </c>
      <c r="DN141" s="32">
        <v>561</v>
      </c>
      <c r="DO141" s="32">
        <v>643</v>
      </c>
      <c r="DP141" s="32">
        <v>0</v>
      </c>
      <c r="DQ141" s="32">
        <v>275</v>
      </c>
      <c r="DR141" s="32">
        <v>101</v>
      </c>
      <c r="DS141" s="32">
        <v>0</v>
      </c>
      <c r="DT141" s="32">
        <v>101</v>
      </c>
      <c r="DU141" s="32">
        <v>53</v>
      </c>
      <c r="DV141" s="33">
        <v>38.933</v>
      </c>
      <c r="DW141" s="33">
        <v>36.933</v>
      </c>
      <c r="DX141" s="33">
        <v>31.067</v>
      </c>
      <c r="DY141" s="33">
        <v>3.8660000000000005</v>
      </c>
      <c r="DZ141" s="33">
        <v>0</v>
      </c>
      <c r="EA141" s="33">
        <v>40.633000000000003</v>
      </c>
      <c r="EB141" s="34">
        <v>6.8097171660599309E-2</v>
      </c>
      <c r="EC141" s="32"/>
      <c r="ED141" s="32">
        <v>80</v>
      </c>
      <c r="EE141" s="32">
        <v>565</v>
      </c>
      <c r="EF141" s="32">
        <v>475</v>
      </c>
      <c r="EG141" s="32">
        <v>90</v>
      </c>
      <c r="EH141" s="32">
        <v>0</v>
      </c>
      <c r="EI141" s="32">
        <v>645</v>
      </c>
      <c r="EJ141" s="32">
        <v>0</v>
      </c>
      <c r="EK141" s="32">
        <v>96</v>
      </c>
      <c r="EL141" s="32">
        <v>96</v>
      </c>
      <c r="EM141" s="32">
        <v>96</v>
      </c>
      <c r="EN141" s="32">
        <v>0</v>
      </c>
      <c r="EO141" s="32">
        <v>0</v>
      </c>
      <c r="EP141" s="33">
        <v>16</v>
      </c>
      <c r="EQ141" s="33">
        <v>0.72</v>
      </c>
      <c r="ER141" s="33">
        <v>3</v>
      </c>
      <c r="ES141" s="33">
        <v>1</v>
      </c>
      <c r="ET141" s="33">
        <v>9</v>
      </c>
      <c r="EU141" s="33">
        <v>29.72</v>
      </c>
    </row>
    <row r="142" spans="1:151" ht="41.4" x14ac:dyDescent="0.3">
      <c r="A142" s="25" t="s">
        <v>195</v>
      </c>
      <c r="B142" s="26" t="s">
        <v>417</v>
      </c>
      <c r="C142" s="27" t="s">
        <v>731</v>
      </c>
      <c r="D142" s="27" t="s">
        <v>272</v>
      </c>
      <c r="E142" s="26" t="s">
        <v>504</v>
      </c>
      <c r="F142" s="26" t="s">
        <v>504</v>
      </c>
      <c r="G142" s="28">
        <v>3</v>
      </c>
      <c r="H142" s="28">
        <v>0</v>
      </c>
      <c r="I142" s="29">
        <v>0</v>
      </c>
      <c r="J142" s="29">
        <v>0</v>
      </c>
      <c r="K142" s="29">
        <v>0</v>
      </c>
      <c r="L142" s="29">
        <v>105</v>
      </c>
      <c r="M142" s="29">
        <v>105</v>
      </c>
      <c r="N142" s="29">
        <v>105</v>
      </c>
      <c r="O142" s="29">
        <v>0</v>
      </c>
      <c r="P142" s="29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27">
        <v>24</v>
      </c>
      <c r="AA142" s="27">
        <v>26.644444444444446</v>
      </c>
      <c r="AB142" s="27">
        <v>27.338888888888889</v>
      </c>
      <c r="AC142" s="27">
        <v>27.772222222222222</v>
      </c>
      <c r="AD142" s="27">
        <v>0</v>
      </c>
      <c r="AE142" s="27">
        <v>0</v>
      </c>
      <c r="AF142" s="27">
        <v>105.75555555555556</v>
      </c>
      <c r="AG142" s="27">
        <v>0</v>
      </c>
      <c r="AH142" s="27">
        <v>105.75555555555556</v>
      </c>
      <c r="AI142" s="27">
        <v>105.75555555555556</v>
      </c>
      <c r="AJ142" s="28">
        <v>2.4555555555555557</v>
      </c>
      <c r="AK142" s="28">
        <v>0</v>
      </c>
      <c r="AL142" s="28">
        <v>2.4555555555555557</v>
      </c>
      <c r="AM142" s="29">
        <v>0</v>
      </c>
      <c r="AN142" s="35">
        <v>0</v>
      </c>
      <c r="AO142" s="27">
        <v>0</v>
      </c>
      <c r="AP142" s="27">
        <v>0</v>
      </c>
      <c r="AQ142" s="27">
        <v>0</v>
      </c>
      <c r="AR142" s="27">
        <v>0</v>
      </c>
      <c r="AS142" s="27">
        <v>0</v>
      </c>
      <c r="AT142" s="27">
        <v>0</v>
      </c>
      <c r="AU142" s="27">
        <v>0</v>
      </c>
      <c r="AV142" s="27">
        <v>31</v>
      </c>
      <c r="AW142" s="27">
        <v>23</v>
      </c>
      <c r="AX142" s="27">
        <v>30</v>
      </c>
      <c r="AY142" s="27">
        <v>22</v>
      </c>
      <c r="AZ142" s="27">
        <v>0</v>
      </c>
      <c r="BA142" s="27">
        <v>0</v>
      </c>
      <c r="BB142" s="27">
        <v>106</v>
      </c>
      <c r="BC142" s="27">
        <v>0</v>
      </c>
      <c r="BD142" s="27">
        <v>106</v>
      </c>
      <c r="BE142" s="27">
        <v>106</v>
      </c>
      <c r="BF142" s="27">
        <v>0</v>
      </c>
      <c r="BG142" s="27">
        <v>0</v>
      </c>
      <c r="BH142" s="27">
        <v>0</v>
      </c>
      <c r="BI142" s="27">
        <v>0</v>
      </c>
      <c r="BJ142" s="27">
        <v>1</v>
      </c>
      <c r="BK142" s="29">
        <v>0</v>
      </c>
      <c r="BL142" s="29">
        <v>1</v>
      </c>
      <c r="BM142" s="29">
        <v>0</v>
      </c>
      <c r="BN142" s="30">
        <v>8.2758620689655171E-2</v>
      </c>
      <c r="BO142" s="31">
        <v>9.3030000000000008</v>
      </c>
      <c r="BP142" s="31">
        <v>8.3529999999999998</v>
      </c>
      <c r="BQ142" s="31">
        <v>8.3529999999999998</v>
      </c>
      <c r="BR142" s="31">
        <v>9.802999999999999</v>
      </c>
      <c r="BS142" s="32">
        <v>0</v>
      </c>
      <c r="BT142" s="32">
        <v>0</v>
      </c>
      <c r="BU142" s="33">
        <v>0</v>
      </c>
      <c r="BV142" s="33">
        <v>0</v>
      </c>
      <c r="BW142" s="33">
        <v>0</v>
      </c>
      <c r="BX142" s="33">
        <v>0</v>
      </c>
      <c r="BY142" s="33">
        <v>0</v>
      </c>
      <c r="BZ142" s="33">
        <v>0</v>
      </c>
      <c r="CA142" s="33">
        <v>0</v>
      </c>
      <c r="CB142" s="33">
        <v>0</v>
      </c>
      <c r="CC142" s="33">
        <v>0</v>
      </c>
      <c r="CD142" s="33">
        <v>0</v>
      </c>
      <c r="CE142" s="33">
        <v>0</v>
      </c>
      <c r="CF142" s="33">
        <v>0</v>
      </c>
      <c r="CG142" s="33">
        <v>21.555555555555557</v>
      </c>
      <c r="CH142" s="33">
        <v>26.95</v>
      </c>
      <c r="CI142" s="33">
        <v>28.072222222222223</v>
      </c>
      <c r="CJ142" s="33">
        <v>24.744444444444444</v>
      </c>
      <c r="CK142" s="33">
        <v>0</v>
      </c>
      <c r="CL142" s="33">
        <v>0</v>
      </c>
      <c r="CM142" s="33">
        <v>101.32222222222222</v>
      </c>
      <c r="CN142" s="33">
        <v>0</v>
      </c>
      <c r="CO142" s="33">
        <v>101.32222222222222</v>
      </c>
      <c r="CP142" s="33">
        <v>101.32222222222222</v>
      </c>
      <c r="CQ142" s="33">
        <v>0.92222222222222205</v>
      </c>
      <c r="CR142" s="33">
        <v>0</v>
      </c>
      <c r="CS142" s="33">
        <v>0.92222222222222205</v>
      </c>
      <c r="CT142" s="33">
        <v>0</v>
      </c>
      <c r="CU142" s="33">
        <v>0</v>
      </c>
      <c r="CV142" s="32">
        <v>0</v>
      </c>
      <c r="CW142" s="32">
        <v>0</v>
      </c>
      <c r="CX142" s="32">
        <v>0</v>
      </c>
      <c r="CY142" s="32">
        <v>0</v>
      </c>
      <c r="CZ142" s="32">
        <v>0</v>
      </c>
      <c r="DA142" s="32">
        <v>0</v>
      </c>
      <c r="DB142" s="32">
        <v>0</v>
      </c>
      <c r="DC142" s="32">
        <v>0</v>
      </c>
      <c r="DD142" s="32">
        <v>0</v>
      </c>
      <c r="DE142" s="32">
        <v>0</v>
      </c>
      <c r="DF142" s="32">
        <v>17</v>
      </c>
      <c r="DG142" s="32">
        <v>30</v>
      </c>
      <c r="DH142" s="32">
        <v>27</v>
      </c>
      <c r="DI142" s="32">
        <v>24</v>
      </c>
      <c r="DJ142" s="32">
        <v>0</v>
      </c>
      <c r="DK142" s="32">
        <v>0</v>
      </c>
      <c r="DL142" s="32">
        <v>98</v>
      </c>
      <c r="DM142" s="32">
        <v>0</v>
      </c>
      <c r="DN142" s="32">
        <v>98</v>
      </c>
      <c r="DO142" s="32">
        <v>98</v>
      </c>
      <c r="DP142" s="32">
        <v>0</v>
      </c>
      <c r="DQ142" s="32">
        <v>0</v>
      </c>
      <c r="DR142" s="32">
        <v>0</v>
      </c>
      <c r="DS142" s="32">
        <v>0</v>
      </c>
      <c r="DT142" s="32">
        <v>0</v>
      </c>
      <c r="DU142" s="32">
        <v>1</v>
      </c>
      <c r="DV142" s="33">
        <v>9.65</v>
      </c>
      <c r="DW142" s="33">
        <v>8.7200000000000006</v>
      </c>
      <c r="DX142" s="33">
        <v>0</v>
      </c>
      <c r="DY142" s="33">
        <v>6.2739999999999991</v>
      </c>
      <c r="DZ142" s="33">
        <v>0</v>
      </c>
      <c r="EA142" s="33">
        <v>10.236000000000001</v>
      </c>
      <c r="EB142" s="34">
        <v>9.2060606060606065E-2</v>
      </c>
      <c r="EC142" s="32"/>
      <c r="ED142" s="32">
        <v>0</v>
      </c>
      <c r="EE142" s="32">
        <v>98</v>
      </c>
      <c r="EF142" s="32">
        <v>0</v>
      </c>
      <c r="EG142" s="32">
        <v>0</v>
      </c>
      <c r="EH142" s="32">
        <v>98</v>
      </c>
      <c r="EI142" s="32">
        <v>98</v>
      </c>
      <c r="EJ142" s="32">
        <v>0</v>
      </c>
      <c r="EK142" s="32">
        <v>0</v>
      </c>
      <c r="EL142" s="32">
        <v>0</v>
      </c>
      <c r="EM142" s="32">
        <v>0</v>
      </c>
      <c r="EN142" s="32">
        <v>0</v>
      </c>
      <c r="EO142" s="32">
        <v>0</v>
      </c>
      <c r="EP142" s="33">
        <v>3</v>
      </c>
      <c r="EQ142" s="33">
        <v>0</v>
      </c>
      <c r="ER142" s="33">
        <v>1</v>
      </c>
      <c r="ES142" s="33">
        <v>0</v>
      </c>
      <c r="ET142" s="33">
        <v>0</v>
      </c>
      <c r="EU142" s="33">
        <v>4</v>
      </c>
    </row>
    <row r="143" spans="1:151" ht="27.6" x14ac:dyDescent="0.3">
      <c r="A143" s="25" t="s">
        <v>209</v>
      </c>
      <c r="B143" s="26" t="s">
        <v>428</v>
      </c>
      <c r="C143" s="27" t="s">
        <v>210</v>
      </c>
      <c r="D143" s="27" t="s">
        <v>272</v>
      </c>
      <c r="E143" s="26" t="s">
        <v>504</v>
      </c>
      <c r="F143" s="26" t="s">
        <v>504</v>
      </c>
      <c r="G143" s="28">
        <v>88.277777777777771</v>
      </c>
      <c r="H143" s="28">
        <v>15.616666666666667</v>
      </c>
      <c r="I143" s="29">
        <v>49</v>
      </c>
      <c r="J143" s="29">
        <v>300</v>
      </c>
      <c r="K143" s="29">
        <v>100</v>
      </c>
      <c r="L143" s="29">
        <v>197</v>
      </c>
      <c r="M143" s="29">
        <v>646</v>
      </c>
      <c r="N143" s="29">
        <v>597</v>
      </c>
      <c r="O143" s="29">
        <v>449</v>
      </c>
      <c r="P143" s="29">
        <v>17</v>
      </c>
      <c r="Q143" s="27">
        <v>46.977777777777774</v>
      </c>
      <c r="R143" s="27">
        <v>49.022222222222226</v>
      </c>
      <c r="S143" s="27">
        <v>49.988888888888887</v>
      </c>
      <c r="T143" s="27">
        <v>49.022222222222226</v>
      </c>
      <c r="U143" s="27">
        <v>49.988888888888887</v>
      </c>
      <c r="V143" s="27">
        <v>49.983333333333334</v>
      </c>
      <c r="W143" s="27">
        <v>50.005555555555553</v>
      </c>
      <c r="X143" s="27">
        <v>48</v>
      </c>
      <c r="Y143" s="27">
        <v>47.883333333333333</v>
      </c>
      <c r="Z143" s="27">
        <v>47.783333333333331</v>
      </c>
      <c r="AA143" s="27">
        <v>48.555555555555557</v>
      </c>
      <c r="AB143" s="27">
        <v>48.594444444444441</v>
      </c>
      <c r="AC143" s="27">
        <v>39.505555555555553</v>
      </c>
      <c r="AD143" s="27">
        <v>298.01111111111112</v>
      </c>
      <c r="AE143" s="27">
        <v>95.883333333333326</v>
      </c>
      <c r="AF143" s="27">
        <v>184.4388888888889</v>
      </c>
      <c r="AG143" s="27">
        <v>440.87222222222221</v>
      </c>
      <c r="AH143" s="27">
        <v>578.33333333333337</v>
      </c>
      <c r="AI143" s="27">
        <v>625.31111111111113</v>
      </c>
      <c r="AJ143" s="28">
        <v>101.01666666666667</v>
      </c>
      <c r="AK143" s="28">
        <v>16.927777777777777</v>
      </c>
      <c r="AL143" s="28">
        <v>117.94444444444444</v>
      </c>
      <c r="AM143" s="29">
        <v>50</v>
      </c>
      <c r="AN143" s="35">
        <v>50</v>
      </c>
      <c r="AO143" s="27">
        <v>50</v>
      </c>
      <c r="AP143" s="27">
        <v>50</v>
      </c>
      <c r="AQ143" s="27">
        <v>50</v>
      </c>
      <c r="AR143" s="27">
        <v>50</v>
      </c>
      <c r="AS143" s="27">
        <v>50</v>
      </c>
      <c r="AT143" s="27">
        <v>50</v>
      </c>
      <c r="AU143" s="27">
        <v>50</v>
      </c>
      <c r="AV143" s="27">
        <v>43</v>
      </c>
      <c r="AW143" s="27">
        <v>39</v>
      </c>
      <c r="AX143" s="27">
        <v>47</v>
      </c>
      <c r="AY143" s="27">
        <v>43</v>
      </c>
      <c r="AZ143" s="27">
        <v>300</v>
      </c>
      <c r="BA143" s="27">
        <v>100</v>
      </c>
      <c r="BB143" s="27">
        <v>172</v>
      </c>
      <c r="BC143" s="27">
        <v>450</v>
      </c>
      <c r="BD143" s="27">
        <v>572</v>
      </c>
      <c r="BE143" s="27">
        <v>622</v>
      </c>
      <c r="BF143" s="27">
        <v>50</v>
      </c>
      <c r="BG143" s="27">
        <v>0</v>
      </c>
      <c r="BH143" s="27">
        <v>0</v>
      </c>
      <c r="BI143" s="27">
        <v>141</v>
      </c>
      <c r="BJ143" s="27">
        <v>108</v>
      </c>
      <c r="BK143" s="29">
        <v>18</v>
      </c>
      <c r="BL143" s="29">
        <v>126</v>
      </c>
      <c r="BM143" s="29">
        <v>0</v>
      </c>
      <c r="BN143" s="30">
        <v>7.3020337802613244E-2</v>
      </c>
      <c r="BO143" s="31">
        <v>32.35</v>
      </c>
      <c r="BP143" s="31">
        <v>31.6</v>
      </c>
      <c r="BQ143" s="31">
        <v>30.880000000000003</v>
      </c>
      <c r="BR143" s="31">
        <v>33.429999999999993</v>
      </c>
      <c r="BS143" s="32">
        <v>0</v>
      </c>
      <c r="BT143" s="32">
        <v>0</v>
      </c>
      <c r="BU143" s="33">
        <v>0</v>
      </c>
      <c r="BV143" s="33">
        <v>0.44444400000000001</v>
      </c>
      <c r="BW143" s="33">
        <v>47.644444</v>
      </c>
      <c r="BX143" s="33">
        <v>48.088888888888889</v>
      </c>
      <c r="BY143" s="33">
        <v>46.06666666666667</v>
      </c>
      <c r="BZ143" s="33">
        <v>49.05</v>
      </c>
      <c r="CA143" s="33">
        <v>50.044444444444444</v>
      </c>
      <c r="CB143" s="33">
        <v>49.055555555555557</v>
      </c>
      <c r="CC143" s="33">
        <v>50.366666666666667</v>
      </c>
      <c r="CD143" s="33">
        <v>49.088888888888889</v>
      </c>
      <c r="CE143" s="33">
        <v>49.961111111111109</v>
      </c>
      <c r="CF143" s="33">
        <v>46.333333333333336</v>
      </c>
      <c r="CG143" s="33">
        <v>41.038888888888891</v>
      </c>
      <c r="CH143" s="33">
        <v>38.144444444444446</v>
      </c>
      <c r="CI143" s="33">
        <v>42.955555555555556</v>
      </c>
      <c r="CJ143" s="33">
        <v>39.93333333333333</v>
      </c>
      <c r="CK143" s="33">
        <v>293.67222222222227</v>
      </c>
      <c r="CL143" s="33">
        <v>96.294444444444451</v>
      </c>
      <c r="CM143" s="33">
        <v>162.07222222222222</v>
      </c>
      <c r="CN143" s="33">
        <v>438.0555555555556</v>
      </c>
      <c r="CO143" s="33">
        <v>552.03888888888889</v>
      </c>
      <c r="CP143" s="33">
        <v>600.12777777777774</v>
      </c>
      <c r="CQ143" s="33">
        <v>108.73333333333299</v>
      </c>
      <c r="CR143" s="33">
        <v>19.794444444444402</v>
      </c>
      <c r="CS143" s="33">
        <v>128.5277777777774</v>
      </c>
      <c r="CT143" s="33">
        <v>0</v>
      </c>
      <c r="CU143" s="33">
        <v>49</v>
      </c>
      <c r="CV143" s="32">
        <v>0</v>
      </c>
      <c r="CW143" s="32">
        <v>49</v>
      </c>
      <c r="CX143" s="32">
        <v>52</v>
      </c>
      <c r="CY143" s="32">
        <v>52</v>
      </c>
      <c r="CZ143" s="32">
        <v>52</v>
      </c>
      <c r="DA143" s="32">
        <v>51</v>
      </c>
      <c r="DB143" s="32">
        <v>52</v>
      </c>
      <c r="DC143" s="32">
        <v>52</v>
      </c>
      <c r="DD143" s="32">
        <v>50</v>
      </c>
      <c r="DE143" s="32">
        <v>50</v>
      </c>
      <c r="DF143" s="32">
        <v>36</v>
      </c>
      <c r="DG143" s="32">
        <v>40</v>
      </c>
      <c r="DH143" s="32">
        <v>28</v>
      </c>
      <c r="DI143" s="32">
        <v>33</v>
      </c>
      <c r="DJ143" s="32">
        <v>311</v>
      </c>
      <c r="DK143" s="32">
        <v>100</v>
      </c>
      <c r="DL143" s="32">
        <v>137</v>
      </c>
      <c r="DM143" s="32">
        <v>460</v>
      </c>
      <c r="DN143" s="32">
        <v>548</v>
      </c>
      <c r="DO143" s="32">
        <v>597</v>
      </c>
      <c r="DP143" s="32">
        <v>0</v>
      </c>
      <c r="DQ143" s="32">
        <v>117</v>
      </c>
      <c r="DR143" s="32">
        <v>101</v>
      </c>
      <c r="DS143" s="32">
        <v>17</v>
      </c>
      <c r="DT143" s="32">
        <v>118</v>
      </c>
      <c r="DU143" s="32">
        <v>0</v>
      </c>
      <c r="DV143" s="33">
        <v>33.35</v>
      </c>
      <c r="DW143" s="33">
        <v>32.6</v>
      </c>
      <c r="DX143" s="33">
        <v>16</v>
      </c>
      <c r="DY143" s="33">
        <v>14.370000000000003</v>
      </c>
      <c r="DZ143" s="33">
        <v>0</v>
      </c>
      <c r="EA143" s="33">
        <v>34.299999999999997</v>
      </c>
      <c r="EB143" s="34">
        <v>7.2417990609771388E-2</v>
      </c>
      <c r="EC143" s="32"/>
      <c r="ED143" s="32">
        <v>50</v>
      </c>
      <c r="EE143" s="32">
        <v>549</v>
      </c>
      <c r="EF143" s="32">
        <v>301</v>
      </c>
      <c r="EG143" s="32">
        <v>100</v>
      </c>
      <c r="EH143" s="32">
        <v>148</v>
      </c>
      <c r="EI143" s="32">
        <v>599</v>
      </c>
      <c r="EJ143" s="32">
        <v>0</v>
      </c>
      <c r="EK143" s="32">
        <v>155</v>
      </c>
      <c r="EL143" s="32">
        <v>155</v>
      </c>
      <c r="EM143" s="32">
        <v>134</v>
      </c>
      <c r="EN143" s="32">
        <v>21</v>
      </c>
      <c r="EO143" s="32">
        <v>0</v>
      </c>
      <c r="EP143" s="33">
        <v>22.27</v>
      </c>
      <c r="EQ143" s="33">
        <v>0</v>
      </c>
      <c r="ER143" s="33">
        <v>3</v>
      </c>
      <c r="ES143" s="33">
        <v>2.2650000000000001</v>
      </c>
      <c r="ET143" s="33">
        <v>8.7840000000000007</v>
      </c>
      <c r="EU143" s="33">
        <v>36.319000000000003</v>
      </c>
    </row>
    <row r="144" spans="1:151" ht="41.4" x14ac:dyDescent="0.3">
      <c r="A144" s="25" t="s">
        <v>227</v>
      </c>
      <c r="B144" s="26" t="s">
        <v>439</v>
      </c>
      <c r="C144" s="27" t="s">
        <v>228</v>
      </c>
      <c r="D144" s="27" t="s">
        <v>272</v>
      </c>
      <c r="E144" s="26" t="s">
        <v>504</v>
      </c>
      <c r="F144" s="26" t="s">
        <v>504</v>
      </c>
      <c r="G144" s="28">
        <v>76.311111111111117</v>
      </c>
      <c r="H144" s="28">
        <v>0</v>
      </c>
      <c r="I144" s="29">
        <v>0</v>
      </c>
      <c r="J144" s="29">
        <v>28</v>
      </c>
      <c r="K144" s="29">
        <v>115</v>
      </c>
      <c r="L144" s="29">
        <v>265</v>
      </c>
      <c r="M144" s="29">
        <v>408</v>
      </c>
      <c r="N144" s="29">
        <v>408</v>
      </c>
      <c r="O144" s="29">
        <v>143</v>
      </c>
      <c r="P144" s="29">
        <v>2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27.9</v>
      </c>
      <c r="X144" s="27">
        <v>59.322222222222223</v>
      </c>
      <c r="Y144" s="27">
        <v>55.388888888888886</v>
      </c>
      <c r="Z144" s="27">
        <v>74.333333333333329</v>
      </c>
      <c r="AA144" s="27">
        <v>61.677777777777777</v>
      </c>
      <c r="AB144" s="27">
        <v>57.422222222222224</v>
      </c>
      <c r="AC144" s="27">
        <v>62.855555555555554</v>
      </c>
      <c r="AD144" s="27">
        <v>27.9</v>
      </c>
      <c r="AE144" s="27">
        <v>114.71111111111111</v>
      </c>
      <c r="AF144" s="27">
        <v>256.28888888888889</v>
      </c>
      <c r="AG144" s="27">
        <v>142.61111111111111</v>
      </c>
      <c r="AH144" s="27">
        <v>398.90000000000003</v>
      </c>
      <c r="AI144" s="27">
        <v>398.90000000000003</v>
      </c>
      <c r="AJ144" s="28">
        <v>85.222222222222229</v>
      </c>
      <c r="AK144" s="28">
        <v>1.5166666666666666</v>
      </c>
      <c r="AL144" s="28">
        <v>86.738888888888894</v>
      </c>
      <c r="AM144" s="29">
        <v>0</v>
      </c>
      <c r="AN144" s="35">
        <v>0</v>
      </c>
      <c r="AO144" s="27">
        <v>0</v>
      </c>
      <c r="AP144" s="27">
        <v>0</v>
      </c>
      <c r="AQ144" s="27">
        <v>0</v>
      </c>
      <c r="AR144" s="27">
        <v>0</v>
      </c>
      <c r="AS144" s="27">
        <v>24</v>
      </c>
      <c r="AT144" s="27">
        <v>47</v>
      </c>
      <c r="AU144" s="27">
        <v>68</v>
      </c>
      <c r="AV144" s="27">
        <v>57</v>
      </c>
      <c r="AW144" s="27">
        <v>67</v>
      </c>
      <c r="AX144" s="27">
        <v>51</v>
      </c>
      <c r="AY144" s="27">
        <v>52</v>
      </c>
      <c r="AZ144" s="27">
        <v>24</v>
      </c>
      <c r="BA144" s="27">
        <v>115</v>
      </c>
      <c r="BB144" s="27">
        <v>227</v>
      </c>
      <c r="BC144" s="27">
        <v>139</v>
      </c>
      <c r="BD144" s="27">
        <v>366</v>
      </c>
      <c r="BE144" s="27">
        <v>366</v>
      </c>
      <c r="BF144" s="27">
        <v>0</v>
      </c>
      <c r="BG144" s="27">
        <v>0</v>
      </c>
      <c r="BH144" s="27">
        <v>0</v>
      </c>
      <c r="BI144" s="27">
        <v>75</v>
      </c>
      <c r="BJ144" s="27">
        <v>73</v>
      </c>
      <c r="BK144" s="29">
        <v>0</v>
      </c>
      <c r="BL144" s="29">
        <v>73</v>
      </c>
      <c r="BM144" s="29">
        <v>10</v>
      </c>
      <c r="BN144" s="30">
        <v>5.7545719993852829E-2</v>
      </c>
      <c r="BO144" s="31">
        <v>27.9</v>
      </c>
      <c r="BP144" s="31">
        <v>27.2</v>
      </c>
      <c r="BQ144" s="31">
        <v>26.7</v>
      </c>
      <c r="BR144" s="31">
        <v>28.54</v>
      </c>
      <c r="BS144" s="32">
        <v>0</v>
      </c>
      <c r="BT144" s="32">
        <v>0</v>
      </c>
      <c r="BU144" s="33">
        <v>0</v>
      </c>
      <c r="BV144" s="33">
        <v>0</v>
      </c>
      <c r="BW144" s="33">
        <v>0</v>
      </c>
      <c r="BX144" s="33">
        <v>0</v>
      </c>
      <c r="BY144" s="33">
        <v>0</v>
      </c>
      <c r="BZ144" s="33">
        <v>0</v>
      </c>
      <c r="CA144" s="33">
        <v>0</v>
      </c>
      <c r="CB144" s="33">
        <v>0</v>
      </c>
      <c r="CC144" s="33">
        <v>0</v>
      </c>
      <c r="CD144" s="33">
        <v>23.338888888888889</v>
      </c>
      <c r="CE144" s="33">
        <v>45.977777777777774</v>
      </c>
      <c r="CF144" s="33">
        <v>69.277777777777771</v>
      </c>
      <c r="CG144" s="33">
        <v>57.972222222222221</v>
      </c>
      <c r="CH144" s="33">
        <v>65.427777777777777</v>
      </c>
      <c r="CI144" s="33">
        <v>48.488888888888887</v>
      </c>
      <c r="CJ144" s="33">
        <v>50.288888888888891</v>
      </c>
      <c r="CK144" s="33">
        <v>23.338888888888889</v>
      </c>
      <c r="CL144" s="33">
        <v>115.25555555555555</v>
      </c>
      <c r="CM144" s="33">
        <v>222.17777777777778</v>
      </c>
      <c r="CN144" s="33">
        <v>138.59444444444443</v>
      </c>
      <c r="CO144" s="33">
        <v>360.77222222222218</v>
      </c>
      <c r="CP144" s="33">
        <v>360.77222222222218</v>
      </c>
      <c r="CQ144" s="33">
        <v>76.738888888888894</v>
      </c>
      <c r="CR144" s="33">
        <v>0.27222222222222198</v>
      </c>
      <c r="CS144" s="33">
        <v>77.01111111111112</v>
      </c>
      <c r="CT144" s="33">
        <v>0</v>
      </c>
      <c r="CU144" s="33">
        <v>0</v>
      </c>
      <c r="CV144" s="32">
        <v>0</v>
      </c>
      <c r="CW144" s="32">
        <v>0</v>
      </c>
      <c r="CX144" s="32">
        <v>0</v>
      </c>
      <c r="CY144" s="32">
        <v>0</v>
      </c>
      <c r="CZ144" s="32">
        <v>0</v>
      </c>
      <c r="DA144" s="32">
        <v>0</v>
      </c>
      <c r="DB144" s="32">
        <v>0</v>
      </c>
      <c r="DC144" s="32">
        <v>32</v>
      </c>
      <c r="DD144" s="32">
        <v>49</v>
      </c>
      <c r="DE144" s="32">
        <v>47</v>
      </c>
      <c r="DF144" s="32">
        <v>72</v>
      </c>
      <c r="DG144" s="32">
        <v>60</v>
      </c>
      <c r="DH144" s="32">
        <v>75</v>
      </c>
      <c r="DI144" s="32">
        <v>39</v>
      </c>
      <c r="DJ144" s="32">
        <v>32</v>
      </c>
      <c r="DK144" s="32">
        <v>96</v>
      </c>
      <c r="DL144" s="32">
        <v>246</v>
      </c>
      <c r="DM144" s="32">
        <v>128</v>
      </c>
      <c r="DN144" s="32">
        <v>374</v>
      </c>
      <c r="DO144" s="32">
        <v>374</v>
      </c>
      <c r="DP144" s="32">
        <v>0</v>
      </c>
      <c r="DQ144" s="32">
        <v>88</v>
      </c>
      <c r="DR144" s="32">
        <v>83</v>
      </c>
      <c r="DS144" s="32">
        <v>1</v>
      </c>
      <c r="DT144" s="32">
        <v>84</v>
      </c>
      <c r="DU144" s="32">
        <v>18</v>
      </c>
      <c r="DV144" s="33">
        <v>32.5</v>
      </c>
      <c r="DW144" s="33">
        <v>31.5</v>
      </c>
      <c r="DX144" s="33">
        <v>1.07</v>
      </c>
      <c r="DY144" s="33">
        <v>19.190000000000001</v>
      </c>
      <c r="DZ144" s="33">
        <v>0</v>
      </c>
      <c r="EA144" s="33">
        <v>32.5</v>
      </c>
      <c r="EB144" s="34">
        <v>6.7727743271221552E-2</v>
      </c>
      <c r="EC144" s="32"/>
      <c r="ED144" s="32">
        <v>0</v>
      </c>
      <c r="EE144" s="32">
        <v>372</v>
      </c>
      <c r="EF144" s="32">
        <v>26</v>
      </c>
      <c r="EG144" s="32">
        <v>104</v>
      </c>
      <c r="EH144" s="32">
        <v>242</v>
      </c>
      <c r="EI144" s="32">
        <v>372</v>
      </c>
      <c r="EJ144" s="32">
        <v>0</v>
      </c>
      <c r="EK144" s="32">
        <v>95</v>
      </c>
      <c r="EL144" s="32">
        <v>95</v>
      </c>
      <c r="EM144" s="32">
        <v>94</v>
      </c>
      <c r="EN144" s="32">
        <v>1</v>
      </c>
      <c r="EO144" s="32">
        <v>1</v>
      </c>
      <c r="EP144" s="33">
        <v>4.75</v>
      </c>
      <c r="EQ144" s="33">
        <v>0</v>
      </c>
      <c r="ER144" s="33">
        <v>5</v>
      </c>
      <c r="ES144" s="33">
        <v>0</v>
      </c>
      <c r="ET144" s="33">
        <v>0.5</v>
      </c>
      <c r="EU144" s="33">
        <v>10.25</v>
      </c>
    </row>
    <row r="145" spans="1:151" ht="41.4" x14ac:dyDescent="0.3">
      <c r="A145" s="25" t="s">
        <v>243</v>
      </c>
      <c r="B145" s="26" t="s">
        <v>448</v>
      </c>
      <c r="C145" s="27" t="s">
        <v>732</v>
      </c>
      <c r="D145" s="27" t="s">
        <v>272</v>
      </c>
      <c r="E145" s="26" t="s">
        <v>504</v>
      </c>
      <c r="F145" s="26" t="s">
        <v>504</v>
      </c>
      <c r="G145" s="28">
        <v>99.5</v>
      </c>
      <c r="H145" s="28">
        <v>0.48888888888888887</v>
      </c>
      <c r="I145" s="29">
        <v>80</v>
      </c>
      <c r="J145" s="29">
        <v>333</v>
      </c>
      <c r="K145" s="29">
        <v>37</v>
      </c>
      <c r="L145" s="29">
        <v>388</v>
      </c>
      <c r="M145" s="29">
        <v>838</v>
      </c>
      <c r="N145" s="29">
        <v>758</v>
      </c>
      <c r="O145" s="29">
        <v>450</v>
      </c>
      <c r="P145" s="29">
        <v>0</v>
      </c>
      <c r="Q145" s="27">
        <v>75.044444444444451</v>
      </c>
      <c r="R145" s="27">
        <v>67.349999999999994</v>
      </c>
      <c r="S145" s="27">
        <v>60.56666666666667</v>
      </c>
      <c r="T145" s="27">
        <v>55.81111111111111</v>
      </c>
      <c r="U145" s="27">
        <v>52.905555555555559</v>
      </c>
      <c r="V145" s="27">
        <v>41.255555555555553</v>
      </c>
      <c r="W145" s="27">
        <v>52.56111111111111</v>
      </c>
      <c r="X145" s="27">
        <v>22.711111111111112</v>
      </c>
      <c r="Y145" s="27">
        <v>14.122222222222222</v>
      </c>
      <c r="Z145" s="27">
        <v>109.36111111111111</v>
      </c>
      <c r="AA145" s="27">
        <v>107.41666666666667</v>
      </c>
      <c r="AB145" s="27">
        <v>89.733333333333334</v>
      </c>
      <c r="AC145" s="27">
        <v>71.083333333333329</v>
      </c>
      <c r="AD145" s="27">
        <v>330.45</v>
      </c>
      <c r="AE145" s="27">
        <v>36.833333333333336</v>
      </c>
      <c r="AF145" s="27">
        <v>377.59444444444443</v>
      </c>
      <c r="AG145" s="27">
        <v>442.32777777777778</v>
      </c>
      <c r="AH145" s="27">
        <v>744.87777777777774</v>
      </c>
      <c r="AI145" s="27">
        <v>819.92222222222222</v>
      </c>
      <c r="AJ145" s="28">
        <v>97.966666666666669</v>
      </c>
      <c r="AK145" s="28">
        <v>1.6944444444444444</v>
      </c>
      <c r="AL145" s="28">
        <v>99.661111111111111</v>
      </c>
      <c r="AM145" s="29">
        <v>94</v>
      </c>
      <c r="AN145" s="35">
        <v>70</v>
      </c>
      <c r="AO145" s="27">
        <v>57</v>
      </c>
      <c r="AP145" s="27">
        <v>67</v>
      </c>
      <c r="AQ145" s="27">
        <v>57</v>
      </c>
      <c r="AR145" s="27">
        <v>54</v>
      </c>
      <c r="AS145" s="27">
        <v>42</v>
      </c>
      <c r="AT145" s="27">
        <v>33</v>
      </c>
      <c r="AU145" s="27">
        <v>14</v>
      </c>
      <c r="AV145" s="27">
        <v>120</v>
      </c>
      <c r="AW145" s="27">
        <v>115</v>
      </c>
      <c r="AX145" s="27">
        <v>96</v>
      </c>
      <c r="AY145" s="27">
        <v>85</v>
      </c>
      <c r="AZ145" s="27">
        <v>347</v>
      </c>
      <c r="BA145" s="27">
        <v>47</v>
      </c>
      <c r="BB145" s="27">
        <v>416</v>
      </c>
      <c r="BC145" s="27">
        <v>488</v>
      </c>
      <c r="BD145" s="27">
        <v>810</v>
      </c>
      <c r="BE145" s="27">
        <v>904</v>
      </c>
      <c r="BF145" s="27">
        <v>86</v>
      </c>
      <c r="BG145" s="27">
        <v>8</v>
      </c>
      <c r="BH145" s="27">
        <v>5</v>
      </c>
      <c r="BI145" s="27">
        <v>192</v>
      </c>
      <c r="BJ145" s="27">
        <v>93</v>
      </c>
      <c r="BK145" s="29">
        <v>1</v>
      </c>
      <c r="BL145" s="29">
        <v>94</v>
      </c>
      <c r="BM145" s="29">
        <v>128</v>
      </c>
      <c r="BN145" s="30">
        <v>0.13797657114746026</v>
      </c>
      <c r="BO145" s="31">
        <v>48.736000000000004</v>
      </c>
      <c r="BP145" s="31">
        <v>45.436</v>
      </c>
      <c r="BQ145" s="31">
        <v>44.436</v>
      </c>
      <c r="BR145" s="31">
        <v>58.835999999999999</v>
      </c>
      <c r="BS145" s="32">
        <v>0</v>
      </c>
      <c r="BT145" s="32">
        <v>0</v>
      </c>
      <c r="BU145" s="33">
        <v>0</v>
      </c>
      <c r="BV145" s="33">
        <v>8.1</v>
      </c>
      <c r="BW145" s="33">
        <v>83.727777000000003</v>
      </c>
      <c r="BX145" s="33">
        <v>91.827777777777783</v>
      </c>
      <c r="BY145" s="33">
        <v>75.922222222222217</v>
      </c>
      <c r="BZ145" s="33">
        <v>60.111111111111114</v>
      </c>
      <c r="CA145" s="33">
        <v>69.233333333333334</v>
      </c>
      <c r="CB145" s="33">
        <v>58.605555555555554</v>
      </c>
      <c r="CC145" s="33">
        <v>55.416666666666664</v>
      </c>
      <c r="CD145" s="33">
        <v>41.072222222222223</v>
      </c>
      <c r="CE145" s="33">
        <v>35.255555555555553</v>
      </c>
      <c r="CF145" s="33">
        <v>15.366666666666667</v>
      </c>
      <c r="CG145" s="33">
        <v>114.19444444444444</v>
      </c>
      <c r="CH145" s="33">
        <v>109.93888888888888</v>
      </c>
      <c r="CI145" s="33">
        <v>93.611111111111114</v>
      </c>
      <c r="CJ145" s="33">
        <v>81.294444444444451</v>
      </c>
      <c r="CK145" s="33">
        <v>360.36111111111109</v>
      </c>
      <c r="CL145" s="33">
        <v>50.62222222222222</v>
      </c>
      <c r="CM145" s="33">
        <v>399.03888888888895</v>
      </c>
      <c r="CN145" s="33">
        <v>502.81111111111107</v>
      </c>
      <c r="CO145" s="33">
        <v>810.02222222222224</v>
      </c>
      <c r="CP145" s="33">
        <v>901.85</v>
      </c>
      <c r="CQ145" s="33">
        <v>96.227777777777803</v>
      </c>
      <c r="CR145" s="33">
        <v>1.1111111111111112</v>
      </c>
      <c r="CS145" s="33">
        <v>97.338888888888903</v>
      </c>
      <c r="CT145" s="33">
        <v>0</v>
      </c>
      <c r="CU145" s="33">
        <v>53</v>
      </c>
      <c r="CV145" s="32">
        <v>10</v>
      </c>
      <c r="CW145" s="32">
        <v>63</v>
      </c>
      <c r="CX145" s="32">
        <v>69</v>
      </c>
      <c r="CY145" s="32">
        <v>75</v>
      </c>
      <c r="CZ145" s="32">
        <v>55</v>
      </c>
      <c r="DA145" s="32">
        <v>61</v>
      </c>
      <c r="DB145" s="32">
        <v>52</v>
      </c>
      <c r="DC145" s="32">
        <v>42</v>
      </c>
      <c r="DD145" s="32">
        <v>18</v>
      </c>
      <c r="DE145" s="32">
        <v>23</v>
      </c>
      <c r="DF145" s="32">
        <v>112</v>
      </c>
      <c r="DG145" s="32">
        <v>111</v>
      </c>
      <c r="DH145" s="32">
        <v>94</v>
      </c>
      <c r="DI145" s="32">
        <v>80</v>
      </c>
      <c r="DJ145" s="32">
        <v>354</v>
      </c>
      <c r="DK145" s="32">
        <v>41</v>
      </c>
      <c r="DL145" s="32">
        <v>397</v>
      </c>
      <c r="DM145" s="32">
        <v>458</v>
      </c>
      <c r="DN145" s="32">
        <v>792</v>
      </c>
      <c r="DO145" s="32">
        <v>855</v>
      </c>
      <c r="DP145" s="32">
        <v>7</v>
      </c>
      <c r="DQ145" s="32">
        <v>217</v>
      </c>
      <c r="DR145" s="32">
        <v>86</v>
      </c>
      <c r="DS145" s="32">
        <v>0</v>
      </c>
      <c r="DT145" s="32">
        <v>86</v>
      </c>
      <c r="DU145" s="32">
        <v>295</v>
      </c>
      <c r="DV145" s="33">
        <v>50.879999999999995</v>
      </c>
      <c r="DW145" s="33">
        <v>48.08</v>
      </c>
      <c r="DX145" s="33">
        <v>21.966000000000001</v>
      </c>
      <c r="DY145" s="33">
        <v>20.201999999999998</v>
      </c>
      <c r="DZ145" s="33">
        <v>0</v>
      </c>
      <c r="EA145" s="33">
        <v>58.480000000000004</v>
      </c>
      <c r="EB145" s="34">
        <v>0.12282762744142789</v>
      </c>
      <c r="EC145" s="32">
        <v>0</v>
      </c>
      <c r="ED145" s="32">
        <v>91</v>
      </c>
      <c r="EE145" s="32">
        <v>779</v>
      </c>
      <c r="EF145" s="32">
        <v>334</v>
      </c>
      <c r="EG145" s="32">
        <v>44</v>
      </c>
      <c r="EH145" s="32">
        <v>401</v>
      </c>
      <c r="EI145" s="32">
        <v>870</v>
      </c>
      <c r="EJ145" s="32">
        <v>0</v>
      </c>
      <c r="EK145" s="32">
        <v>86</v>
      </c>
      <c r="EL145" s="32">
        <v>86</v>
      </c>
      <c r="EM145" s="32">
        <v>86</v>
      </c>
      <c r="EN145" s="32">
        <v>0</v>
      </c>
      <c r="EO145" s="32">
        <v>4</v>
      </c>
      <c r="EP145" s="33">
        <v>3</v>
      </c>
      <c r="EQ145" s="33">
        <v>0</v>
      </c>
      <c r="ER145" s="33">
        <v>4</v>
      </c>
      <c r="ES145" s="33">
        <v>4</v>
      </c>
      <c r="ET145" s="33">
        <v>1.5</v>
      </c>
      <c r="EU145" s="33">
        <v>12.5</v>
      </c>
    </row>
    <row r="146" spans="1:151" x14ac:dyDescent="0.3">
      <c r="A146" s="25" t="s">
        <v>489</v>
      </c>
      <c r="B146" s="25" t="s">
        <v>493</v>
      </c>
      <c r="C146" s="24" t="s">
        <v>490</v>
      </c>
      <c r="D146" s="24" t="s">
        <v>272</v>
      </c>
      <c r="E146" s="26" t="s">
        <v>504</v>
      </c>
      <c r="F146" s="26" t="s">
        <v>504</v>
      </c>
      <c r="G146" s="28">
        <v>0</v>
      </c>
      <c r="H146" s="28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v>0</v>
      </c>
      <c r="AG146" s="24">
        <v>0</v>
      </c>
      <c r="AH146" s="24">
        <v>0</v>
      </c>
      <c r="AI146" s="24">
        <v>0</v>
      </c>
      <c r="AJ146" s="28">
        <v>0</v>
      </c>
      <c r="AK146" s="28">
        <v>0</v>
      </c>
      <c r="AL146" s="28">
        <v>0</v>
      </c>
      <c r="AM146" s="36">
        <v>0</v>
      </c>
      <c r="AN146" s="37">
        <v>0</v>
      </c>
      <c r="AO146" s="24">
        <v>0</v>
      </c>
      <c r="AP146" s="24">
        <v>0</v>
      </c>
      <c r="AQ146" s="24">
        <v>0</v>
      </c>
      <c r="AR146" s="24">
        <v>0</v>
      </c>
      <c r="AS146" s="24">
        <v>0</v>
      </c>
      <c r="AT146" s="24">
        <v>0</v>
      </c>
      <c r="AU146" s="24">
        <v>0</v>
      </c>
      <c r="AV146" s="24">
        <v>0</v>
      </c>
      <c r="AW146" s="24">
        <v>0</v>
      </c>
      <c r="AX146" s="24">
        <v>0</v>
      </c>
      <c r="AY146" s="24">
        <v>0</v>
      </c>
      <c r="AZ146" s="24">
        <v>0</v>
      </c>
      <c r="BA146" s="24">
        <v>0</v>
      </c>
      <c r="BB146" s="24">
        <v>0</v>
      </c>
      <c r="BC146" s="24">
        <v>0</v>
      </c>
      <c r="BD146" s="24">
        <v>0</v>
      </c>
      <c r="BE146" s="24">
        <v>0</v>
      </c>
      <c r="BF146" s="24">
        <v>0</v>
      </c>
      <c r="BG146" s="24">
        <v>0</v>
      </c>
      <c r="BH146" s="24">
        <v>0</v>
      </c>
      <c r="BI146" s="27">
        <v>0</v>
      </c>
      <c r="BJ146" s="24">
        <v>0</v>
      </c>
      <c r="BK146" s="29">
        <v>0</v>
      </c>
      <c r="BL146" s="29">
        <v>0</v>
      </c>
      <c r="BM146" s="29">
        <v>0</v>
      </c>
      <c r="BN146" s="30">
        <v>0</v>
      </c>
      <c r="BO146" s="31">
        <v>0</v>
      </c>
      <c r="BP146" s="31">
        <v>0</v>
      </c>
      <c r="BQ146" s="31">
        <v>0</v>
      </c>
      <c r="BR146" s="31">
        <v>0</v>
      </c>
      <c r="BS146" s="32">
        <v>0</v>
      </c>
      <c r="BT146" s="32">
        <v>0</v>
      </c>
      <c r="BU146" s="33">
        <v>0</v>
      </c>
      <c r="BV146" s="33">
        <v>0</v>
      </c>
      <c r="BW146" s="33">
        <v>0</v>
      </c>
      <c r="BX146" s="33">
        <v>0</v>
      </c>
      <c r="BY146" s="33">
        <v>0</v>
      </c>
      <c r="BZ146" s="33">
        <v>0</v>
      </c>
      <c r="CA146" s="33">
        <v>0</v>
      </c>
      <c r="CB146" s="33">
        <v>0</v>
      </c>
      <c r="CC146" s="33">
        <v>0</v>
      </c>
      <c r="CD146" s="33">
        <v>0</v>
      </c>
      <c r="CE146" s="33">
        <v>0</v>
      </c>
      <c r="CF146" s="33">
        <v>0</v>
      </c>
      <c r="CG146" s="33">
        <v>0</v>
      </c>
      <c r="CH146" s="33">
        <v>0</v>
      </c>
      <c r="CI146" s="33">
        <v>0</v>
      </c>
      <c r="CJ146" s="33">
        <v>0</v>
      </c>
      <c r="CK146" s="33">
        <v>0</v>
      </c>
      <c r="CL146" s="33">
        <v>0</v>
      </c>
      <c r="CM146" s="33">
        <v>0</v>
      </c>
      <c r="CN146" s="33">
        <v>0</v>
      </c>
      <c r="CO146" s="33">
        <v>0</v>
      </c>
      <c r="CP146" s="33">
        <v>0</v>
      </c>
      <c r="CQ146" s="33">
        <v>0</v>
      </c>
      <c r="CR146" s="33">
        <v>0</v>
      </c>
      <c r="CS146" s="33">
        <v>0</v>
      </c>
      <c r="CT146" s="33">
        <v>0</v>
      </c>
      <c r="CU146" s="33">
        <v>33</v>
      </c>
      <c r="CV146" s="32">
        <v>0</v>
      </c>
      <c r="CW146" s="32">
        <v>33</v>
      </c>
      <c r="CX146" s="32">
        <v>38</v>
      </c>
      <c r="CY146" s="32">
        <v>37</v>
      </c>
      <c r="CZ146" s="32">
        <v>31</v>
      </c>
      <c r="DA146" s="32">
        <v>36</v>
      </c>
      <c r="DB146" s="32">
        <v>30</v>
      </c>
      <c r="DC146" s="32">
        <v>29</v>
      </c>
      <c r="DD146" s="32">
        <v>0</v>
      </c>
      <c r="DE146" s="32">
        <v>0</v>
      </c>
      <c r="DF146" s="32">
        <v>0</v>
      </c>
      <c r="DG146" s="32">
        <v>0</v>
      </c>
      <c r="DH146" s="32">
        <v>0</v>
      </c>
      <c r="DI146" s="32">
        <v>0</v>
      </c>
      <c r="DJ146" s="32">
        <v>201</v>
      </c>
      <c r="DK146" s="32">
        <v>0</v>
      </c>
      <c r="DL146" s="32">
        <v>0</v>
      </c>
      <c r="DM146" s="32">
        <v>234</v>
      </c>
      <c r="DN146" s="32">
        <v>201</v>
      </c>
      <c r="DO146" s="32">
        <v>234</v>
      </c>
      <c r="DP146" s="32">
        <v>0</v>
      </c>
      <c r="DQ146" s="32">
        <v>0</v>
      </c>
      <c r="DR146" s="32">
        <v>15</v>
      </c>
      <c r="DS146" s="32">
        <v>1</v>
      </c>
      <c r="DT146" s="32">
        <v>16</v>
      </c>
      <c r="DU146" s="32">
        <v>0</v>
      </c>
      <c r="DV146" s="33">
        <v>12.75</v>
      </c>
      <c r="DW146" s="33">
        <v>12.75</v>
      </c>
      <c r="DX146" s="33">
        <v>12.75</v>
      </c>
      <c r="DY146" s="33">
        <v>0</v>
      </c>
      <c r="DZ146" s="33">
        <v>0</v>
      </c>
      <c r="EA146" s="33">
        <v>12.75</v>
      </c>
      <c r="EB146" s="34">
        <v>0</v>
      </c>
      <c r="EC146" s="32"/>
      <c r="ED146" s="32">
        <v>20</v>
      </c>
      <c r="EE146" s="32">
        <v>213</v>
      </c>
      <c r="EF146" s="32">
        <v>148</v>
      </c>
      <c r="EG146" s="32">
        <v>45</v>
      </c>
      <c r="EH146" s="32">
        <v>20</v>
      </c>
      <c r="EI146" s="32">
        <v>233</v>
      </c>
      <c r="EJ146" s="32">
        <v>0</v>
      </c>
      <c r="EK146" s="32">
        <v>19</v>
      </c>
      <c r="EL146" s="32">
        <v>19</v>
      </c>
      <c r="EM146" s="32">
        <v>17</v>
      </c>
      <c r="EN146" s="32">
        <v>2</v>
      </c>
      <c r="EO146" s="32">
        <v>0</v>
      </c>
      <c r="EP146" s="33">
        <v>0</v>
      </c>
      <c r="EQ146" s="33">
        <v>0</v>
      </c>
      <c r="ER146" s="33">
        <v>0</v>
      </c>
      <c r="ES146" s="33">
        <v>0</v>
      </c>
      <c r="ET146" s="33">
        <v>0</v>
      </c>
      <c r="EU146" s="33">
        <v>0</v>
      </c>
    </row>
    <row r="147" spans="1:151" ht="41.4" x14ac:dyDescent="0.3">
      <c r="A147" s="25" t="s">
        <v>88</v>
      </c>
      <c r="B147" s="26" t="s">
        <v>325</v>
      </c>
      <c r="C147" s="27" t="s">
        <v>89</v>
      </c>
      <c r="D147" s="27" t="s">
        <v>272</v>
      </c>
      <c r="E147" s="26" t="s">
        <v>504</v>
      </c>
      <c r="F147" s="26" t="s">
        <v>504</v>
      </c>
      <c r="G147" s="28">
        <v>56.033333333333331</v>
      </c>
      <c r="H147" s="28">
        <v>6.9555555555555557</v>
      </c>
      <c r="I147" s="29">
        <v>46</v>
      </c>
      <c r="J147" s="29">
        <v>324</v>
      </c>
      <c r="K147" s="29">
        <v>41</v>
      </c>
      <c r="L147" s="29">
        <v>0</v>
      </c>
      <c r="M147" s="29">
        <v>411</v>
      </c>
      <c r="N147" s="29">
        <v>365</v>
      </c>
      <c r="O147" s="29">
        <v>411</v>
      </c>
      <c r="P147" s="29">
        <v>7</v>
      </c>
      <c r="Q147" s="27">
        <v>46</v>
      </c>
      <c r="R147" s="27">
        <v>55.87777777777778</v>
      </c>
      <c r="S147" s="27">
        <v>67.24444444444444</v>
      </c>
      <c r="T147" s="27">
        <v>67.572222222222223</v>
      </c>
      <c r="U147" s="27">
        <v>44.37777777777778</v>
      </c>
      <c r="V147" s="27">
        <v>47</v>
      </c>
      <c r="W147" s="27">
        <v>31.566666666666666</v>
      </c>
      <c r="X147" s="27">
        <v>24.411111111111111</v>
      </c>
      <c r="Y147" s="27">
        <v>15</v>
      </c>
      <c r="Z147" s="27">
        <v>0</v>
      </c>
      <c r="AA147" s="27">
        <v>0</v>
      </c>
      <c r="AB147" s="27">
        <v>0</v>
      </c>
      <c r="AC147" s="27">
        <v>0</v>
      </c>
      <c r="AD147" s="27">
        <v>313.63888888888891</v>
      </c>
      <c r="AE147" s="27">
        <v>39.411111111111111</v>
      </c>
      <c r="AF147" s="27">
        <v>0</v>
      </c>
      <c r="AG147" s="27">
        <v>399.04999999999995</v>
      </c>
      <c r="AH147" s="27">
        <v>353.05</v>
      </c>
      <c r="AI147" s="27">
        <v>399.04999999999995</v>
      </c>
      <c r="AJ147" s="28">
        <v>54.922222222222224</v>
      </c>
      <c r="AK147" s="28">
        <v>5.3722222222222218</v>
      </c>
      <c r="AL147" s="28">
        <v>60.294444444444444</v>
      </c>
      <c r="AM147" s="29">
        <v>45</v>
      </c>
      <c r="AN147" s="35">
        <v>51</v>
      </c>
      <c r="AO147" s="27">
        <v>55</v>
      </c>
      <c r="AP147" s="27">
        <v>65</v>
      </c>
      <c r="AQ147" s="27">
        <v>64</v>
      </c>
      <c r="AR147" s="27">
        <v>40</v>
      </c>
      <c r="AS147" s="27">
        <v>40</v>
      </c>
      <c r="AT147" s="27">
        <v>23</v>
      </c>
      <c r="AU147" s="27">
        <v>23</v>
      </c>
      <c r="AV147" s="27">
        <v>0</v>
      </c>
      <c r="AW147" s="27">
        <v>0</v>
      </c>
      <c r="AX147" s="27">
        <v>0</v>
      </c>
      <c r="AY147" s="27">
        <v>0</v>
      </c>
      <c r="AZ147" s="27">
        <v>315</v>
      </c>
      <c r="BA147" s="27">
        <v>46</v>
      </c>
      <c r="BB147" s="27">
        <v>0</v>
      </c>
      <c r="BC147" s="27">
        <v>406</v>
      </c>
      <c r="BD147" s="27">
        <v>361</v>
      </c>
      <c r="BE147" s="27">
        <v>406</v>
      </c>
      <c r="BF147" s="27">
        <v>0</v>
      </c>
      <c r="BG147" s="27">
        <v>45</v>
      </c>
      <c r="BH147" s="27">
        <v>0</v>
      </c>
      <c r="BI147" s="27">
        <v>33</v>
      </c>
      <c r="BJ147" s="27">
        <v>54</v>
      </c>
      <c r="BK147" s="29">
        <v>4</v>
      </c>
      <c r="BL147" s="29">
        <v>58</v>
      </c>
      <c r="BM147" s="29">
        <v>4</v>
      </c>
      <c r="BN147" s="30">
        <v>7.086291038154402E-2</v>
      </c>
      <c r="BO147" s="31">
        <v>30.916</v>
      </c>
      <c r="BP147" s="31">
        <v>29.916</v>
      </c>
      <c r="BQ147" s="31">
        <v>28.491</v>
      </c>
      <c r="BR147" s="31">
        <v>30.541</v>
      </c>
      <c r="BS147" s="32">
        <v>0</v>
      </c>
      <c r="BT147" s="32">
        <v>0</v>
      </c>
      <c r="BU147" s="33">
        <v>0</v>
      </c>
      <c r="BV147" s="33">
        <v>43.388888000000001</v>
      </c>
      <c r="BW147" s="33">
        <v>0</v>
      </c>
      <c r="BX147" s="33">
        <v>43.388888888888886</v>
      </c>
      <c r="BY147" s="33">
        <v>51</v>
      </c>
      <c r="BZ147" s="33">
        <v>53.18333333333333</v>
      </c>
      <c r="CA147" s="33">
        <v>62.794444444444444</v>
      </c>
      <c r="CB147" s="33">
        <v>63.4</v>
      </c>
      <c r="CC147" s="33">
        <v>38.68888888888889</v>
      </c>
      <c r="CD147" s="33">
        <v>39.572222222222223</v>
      </c>
      <c r="CE147" s="33">
        <v>22.977777777777778</v>
      </c>
      <c r="CF147" s="33">
        <v>22</v>
      </c>
      <c r="CG147" s="33">
        <v>0</v>
      </c>
      <c r="CH147" s="33">
        <v>0</v>
      </c>
      <c r="CI147" s="33">
        <v>0</v>
      </c>
      <c r="CJ147" s="33">
        <v>0</v>
      </c>
      <c r="CK147" s="33">
        <v>308.63888888888891</v>
      </c>
      <c r="CL147" s="33">
        <v>44.977777777777774</v>
      </c>
      <c r="CM147" s="33">
        <v>0</v>
      </c>
      <c r="CN147" s="33">
        <v>397.00555555555547</v>
      </c>
      <c r="CO147" s="33">
        <v>353.61666666666667</v>
      </c>
      <c r="CP147" s="33">
        <v>397.00555555555547</v>
      </c>
      <c r="CQ147" s="33">
        <v>57</v>
      </c>
      <c r="CR147" s="33">
        <v>2.9444444444444402</v>
      </c>
      <c r="CS147" s="33">
        <v>59.944444444444443</v>
      </c>
      <c r="CT147" s="33">
        <v>0</v>
      </c>
      <c r="CU147" s="33">
        <v>22</v>
      </c>
      <c r="CV147" s="32">
        <v>17</v>
      </c>
      <c r="CW147" s="32">
        <v>39</v>
      </c>
      <c r="CX147" s="32">
        <v>39</v>
      </c>
      <c r="CY147" s="32">
        <v>56</v>
      </c>
      <c r="CZ147" s="32">
        <v>52</v>
      </c>
      <c r="DA147" s="32">
        <v>58</v>
      </c>
      <c r="DB147" s="32">
        <v>54</v>
      </c>
      <c r="DC147" s="32">
        <v>34</v>
      </c>
      <c r="DD147" s="32">
        <v>24</v>
      </c>
      <c r="DE147" s="32">
        <v>19</v>
      </c>
      <c r="DF147" s="32">
        <v>0</v>
      </c>
      <c r="DG147" s="32">
        <v>0</v>
      </c>
      <c r="DH147" s="32">
        <v>0</v>
      </c>
      <c r="DI147" s="32">
        <v>0</v>
      </c>
      <c r="DJ147" s="32">
        <v>293</v>
      </c>
      <c r="DK147" s="32">
        <v>43</v>
      </c>
      <c r="DL147" s="32">
        <v>0</v>
      </c>
      <c r="DM147" s="32">
        <v>375</v>
      </c>
      <c r="DN147" s="32">
        <v>336</v>
      </c>
      <c r="DO147" s="32">
        <v>375</v>
      </c>
      <c r="DP147" s="32">
        <v>0</v>
      </c>
      <c r="DQ147" s="32">
        <v>4</v>
      </c>
      <c r="DR147" s="32">
        <v>64</v>
      </c>
      <c r="DS147" s="32">
        <v>0</v>
      </c>
      <c r="DT147" s="32">
        <v>64</v>
      </c>
      <c r="DU147" s="32">
        <v>5</v>
      </c>
      <c r="DV147" s="33">
        <v>29.916</v>
      </c>
      <c r="DW147" s="33">
        <v>28.916</v>
      </c>
      <c r="DX147" s="33">
        <v>19.23</v>
      </c>
      <c r="DY147" s="33">
        <v>5.3200000000000012</v>
      </c>
      <c r="DZ147" s="33">
        <v>0</v>
      </c>
      <c r="EA147" s="33">
        <v>30.916000000000004</v>
      </c>
      <c r="EB147" s="34">
        <v>7.6292501362769216E-2</v>
      </c>
      <c r="EC147" s="32"/>
      <c r="ED147" s="32">
        <v>47</v>
      </c>
      <c r="EE147" s="32">
        <v>333</v>
      </c>
      <c r="EF147" s="32">
        <v>290</v>
      </c>
      <c r="EG147" s="32">
        <v>43</v>
      </c>
      <c r="EH147" s="32">
        <v>0</v>
      </c>
      <c r="EI147" s="32">
        <v>380</v>
      </c>
      <c r="EJ147" s="32">
        <v>0</v>
      </c>
      <c r="EK147" s="32">
        <v>71</v>
      </c>
      <c r="EL147" s="32">
        <v>71</v>
      </c>
      <c r="EM147" s="32">
        <v>71</v>
      </c>
      <c r="EN147" s="32">
        <v>0</v>
      </c>
      <c r="EO147" s="32">
        <v>3</v>
      </c>
      <c r="EP147" s="33">
        <v>16.41</v>
      </c>
      <c r="EQ147" s="33">
        <v>0</v>
      </c>
      <c r="ER147" s="33">
        <v>3.18</v>
      </c>
      <c r="ES147" s="33">
        <v>0</v>
      </c>
      <c r="ET147" s="33">
        <v>3.56</v>
      </c>
      <c r="EU147" s="33">
        <v>23.15</v>
      </c>
    </row>
    <row r="148" spans="1:151" ht="27.6" x14ac:dyDescent="0.3">
      <c r="A148" s="25" t="s">
        <v>104</v>
      </c>
      <c r="B148" s="26" t="s">
        <v>340</v>
      </c>
      <c r="C148" s="27" t="s">
        <v>105</v>
      </c>
      <c r="D148" s="27" t="s">
        <v>272</v>
      </c>
      <c r="E148" s="26" t="s">
        <v>504</v>
      </c>
      <c r="F148" s="26" t="s">
        <v>504</v>
      </c>
      <c r="G148" s="28">
        <v>64.811111111111117</v>
      </c>
      <c r="H148" s="28">
        <v>2.2055555555555557</v>
      </c>
      <c r="I148" s="29">
        <v>0</v>
      </c>
      <c r="J148" s="29">
        <v>0</v>
      </c>
      <c r="K148" s="29">
        <v>98</v>
      </c>
      <c r="L148" s="29">
        <v>249</v>
      </c>
      <c r="M148" s="29">
        <v>347</v>
      </c>
      <c r="N148" s="29">
        <v>347</v>
      </c>
      <c r="O148" s="29">
        <v>98</v>
      </c>
      <c r="P148" s="29">
        <v>2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46.327777777777776</v>
      </c>
      <c r="Y148" s="27">
        <v>50.077777777777776</v>
      </c>
      <c r="Z148" s="27">
        <v>54.138888888888886</v>
      </c>
      <c r="AA148" s="27">
        <v>64.072222222222223</v>
      </c>
      <c r="AB148" s="27">
        <v>72.861111111111114</v>
      </c>
      <c r="AC148" s="27">
        <v>55.044444444444444</v>
      </c>
      <c r="AD148" s="27">
        <v>0</v>
      </c>
      <c r="AE148" s="27">
        <v>96.405555555555551</v>
      </c>
      <c r="AF148" s="27">
        <v>246.11666666666667</v>
      </c>
      <c r="AG148" s="27">
        <v>96.405555555555551</v>
      </c>
      <c r="AH148" s="27">
        <v>342.52222222222218</v>
      </c>
      <c r="AI148" s="27">
        <v>342.52222222222218</v>
      </c>
      <c r="AJ148" s="28">
        <v>59.15</v>
      </c>
      <c r="AK148" s="28">
        <v>2</v>
      </c>
      <c r="AL148" s="28">
        <v>61.15</v>
      </c>
      <c r="AM148" s="29">
        <v>0</v>
      </c>
      <c r="AN148" s="35">
        <v>0</v>
      </c>
      <c r="AO148" s="27">
        <v>0</v>
      </c>
      <c r="AP148" s="27">
        <v>0</v>
      </c>
      <c r="AQ148" s="27">
        <v>0</v>
      </c>
      <c r="AR148" s="27">
        <v>0</v>
      </c>
      <c r="AS148" s="27">
        <v>0</v>
      </c>
      <c r="AT148" s="27">
        <v>50</v>
      </c>
      <c r="AU148" s="27">
        <v>61</v>
      </c>
      <c r="AV148" s="27">
        <v>77</v>
      </c>
      <c r="AW148" s="27">
        <v>57</v>
      </c>
      <c r="AX148" s="27">
        <v>72</v>
      </c>
      <c r="AY148" s="27">
        <v>65</v>
      </c>
      <c r="AZ148" s="27">
        <v>0</v>
      </c>
      <c r="BA148" s="27">
        <v>111</v>
      </c>
      <c r="BB148" s="27">
        <v>271</v>
      </c>
      <c r="BC148" s="27">
        <v>111</v>
      </c>
      <c r="BD148" s="27">
        <v>382</v>
      </c>
      <c r="BE148" s="27">
        <v>382</v>
      </c>
      <c r="BF148" s="27">
        <v>0</v>
      </c>
      <c r="BG148" s="27">
        <v>0</v>
      </c>
      <c r="BH148" s="27">
        <v>2</v>
      </c>
      <c r="BI148" s="27">
        <v>66</v>
      </c>
      <c r="BJ148" s="27">
        <v>77</v>
      </c>
      <c r="BK148" s="29">
        <v>1</v>
      </c>
      <c r="BL148" s="29">
        <v>78</v>
      </c>
      <c r="BM148" s="29">
        <v>7</v>
      </c>
      <c r="BN148" s="30">
        <v>7.073401162790699E-2</v>
      </c>
      <c r="BO148" s="31">
        <v>28.04</v>
      </c>
      <c r="BP148" s="31">
        <v>25.16</v>
      </c>
      <c r="BQ148" s="31">
        <v>24.16</v>
      </c>
      <c r="BR148" s="31">
        <v>30.039999999999996</v>
      </c>
      <c r="BS148" s="32">
        <v>0</v>
      </c>
      <c r="BT148" s="32">
        <v>0</v>
      </c>
      <c r="BU148" s="33">
        <v>0</v>
      </c>
      <c r="BV148" s="33">
        <v>0</v>
      </c>
      <c r="BW148" s="33">
        <v>0</v>
      </c>
      <c r="BX148" s="33">
        <v>0</v>
      </c>
      <c r="BY148" s="33">
        <v>0</v>
      </c>
      <c r="BZ148" s="33">
        <v>0</v>
      </c>
      <c r="CA148" s="33">
        <v>0</v>
      </c>
      <c r="CB148" s="33">
        <v>0</v>
      </c>
      <c r="CC148" s="33">
        <v>0</v>
      </c>
      <c r="CD148" s="33">
        <v>0</v>
      </c>
      <c r="CE148" s="33">
        <v>48.25</v>
      </c>
      <c r="CF148" s="33">
        <v>59.905555555555559</v>
      </c>
      <c r="CG148" s="33">
        <v>79.00555555555556</v>
      </c>
      <c r="CH148" s="33">
        <v>51.922222222222224</v>
      </c>
      <c r="CI148" s="33">
        <v>67.483333333333334</v>
      </c>
      <c r="CJ148" s="33">
        <v>62.022222222222226</v>
      </c>
      <c r="CK148" s="33">
        <v>0</v>
      </c>
      <c r="CL148" s="33">
        <v>108.15555555555557</v>
      </c>
      <c r="CM148" s="33">
        <v>260.43333333333334</v>
      </c>
      <c r="CN148" s="33">
        <v>108.15555555555557</v>
      </c>
      <c r="CO148" s="33">
        <v>368.5888888888889</v>
      </c>
      <c r="CP148" s="33">
        <v>368.5888888888889</v>
      </c>
      <c r="CQ148" s="33">
        <v>74.2</v>
      </c>
      <c r="CR148" s="33">
        <v>1</v>
      </c>
      <c r="CS148" s="33">
        <v>75.2</v>
      </c>
      <c r="CT148" s="33">
        <v>0</v>
      </c>
      <c r="CU148" s="33">
        <v>0</v>
      </c>
      <c r="CV148" s="32">
        <v>0</v>
      </c>
      <c r="CW148" s="32">
        <v>0</v>
      </c>
      <c r="CX148" s="32">
        <v>0</v>
      </c>
      <c r="CY148" s="32">
        <v>0</v>
      </c>
      <c r="CZ148" s="32">
        <v>0</v>
      </c>
      <c r="DA148" s="32">
        <v>0</v>
      </c>
      <c r="DB148" s="32">
        <v>0</v>
      </c>
      <c r="DC148" s="32">
        <v>0</v>
      </c>
      <c r="DD148" s="32">
        <v>58</v>
      </c>
      <c r="DE148" s="32">
        <v>57</v>
      </c>
      <c r="DF148" s="32">
        <v>65</v>
      </c>
      <c r="DG148" s="32">
        <v>69</v>
      </c>
      <c r="DH148" s="32">
        <v>47</v>
      </c>
      <c r="DI148" s="32">
        <v>57</v>
      </c>
      <c r="DJ148" s="32">
        <v>0</v>
      </c>
      <c r="DK148" s="32">
        <v>115</v>
      </c>
      <c r="DL148" s="32">
        <v>238</v>
      </c>
      <c r="DM148" s="32">
        <v>115</v>
      </c>
      <c r="DN148" s="32">
        <v>353</v>
      </c>
      <c r="DO148" s="32">
        <v>353</v>
      </c>
      <c r="DP148" s="32">
        <v>8</v>
      </c>
      <c r="DQ148" s="32">
        <v>80</v>
      </c>
      <c r="DR148" s="32">
        <v>67</v>
      </c>
      <c r="DS148" s="32">
        <v>1</v>
      </c>
      <c r="DT148" s="32">
        <v>68</v>
      </c>
      <c r="DU148" s="32">
        <v>9</v>
      </c>
      <c r="DV148" s="33">
        <v>29.816800000000001</v>
      </c>
      <c r="DW148" s="33">
        <v>26.056800000000003</v>
      </c>
      <c r="DX148" s="33">
        <v>0</v>
      </c>
      <c r="DY148" s="33">
        <v>21.087</v>
      </c>
      <c r="DZ148" s="33">
        <v>0</v>
      </c>
      <c r="EA148" s="33">
        <v>30.584</v>
      </c>
      <c r="EB148" s="34">
        <v>6.69855182926829E-2</v>
      </c>
      <c r="EC148" s="32"/>
      <c r="ED148" s="32">
        <v>0</v>
      </c>
      <c r="EE148" s="32">
        <v>370</v>
      </c>
      <c r="EF148" s="32">
        <v>0</v>
      </c>
      <c r="EG148" s="32">
        <v>108</v>
      </c>
      <c r="EH148" s="32">
        <v>262</v>
      </c>
      <c r="EI148" s="32">
        <v>370</v>
      </c>
      <c r="EJ148" s="32">
        <v>0</v>
      </c>
      <c r="EK148" s="32">
        <v>64</v>
      </c>
      <c r="EL148" s="32">
        <v>64</v>
      </c>
      <c r="EM148" s="32">
        <v>63</v>
      </c>
      <c r="EN148" s="32">
        <v>1</v>
      </c>
      <c r="EO148" s="32">
        <v>0</v>
      </c>
      <c r="EP148" s="33">
        <v>7.4169999999999998</v>
      </c>
      <c r="EQ148" s="33">
        <v>0</v>
      </c>
      <c r="ER148" s="33">
        <v>3.972</v>
      </c>
      <c r="ES148" s="33">
        <v>0</v>
      </c>
      <c r="ET148" s="33">
        <v>2</v>
      </c>
      <c r="EU148" s="33">
        <v>13.388999999999999</v>
      </c>
    </row>
    <row r="149" spans="1:151" ht="27.6" x14ac:dyDescent="0.3">
      <c r="A149" s="25" t="s">
        <v>121</v>
      </c>
      <c r="B149" s="26" t="s">
        <v>356</v>
      </c>
      <c r="C149" s="27" t="s">
        <v>122</v>
      </c>
      <c r="D149" s="27" t="s">
        <v>272</v>
      </c>
      <c r="E149" s="26" t="s">
        <v>504</v>
      </c>
      <c r="F149" s="26" t="s">
        <v>504</v>
      </c>
      <c r="G149" s="28">
        <v>49.45</v>
      </c>
      <c r="H149" s="28">
        <v>2</v>
      </c>
      <c r="I149" s="29">
        <v>66</v>
      </c>
      <c r="J149" s="29">
        <v>453</v>
      </c>
      <c r="K149" s="29">
        <v>0</v>
      </c>
      <c r="L149" s="29">
        <v>0</v>
      </c>
      <c r="M149" s="29">
        <v>519</v>
      </c>
      <c r="N149" s="29">
        <v>453</v>
      </c>
      <c r="O149" s="29">
        <v>519</v>
      </c>
      <c r="P149" s="29">
        <v>1</v>
      </c>
      <c r="Q149" s="27">
        <v>68.794444444444451</v>
      </c>
      <c r="R149" s="27">
        <v>76.194444444444443</v>
      </c>
      <c r="S149" s="27">
        <v>77.988888888888894</v>
      </c>
      <c r="T149" s="27">
        <v>75.849999999999994</v>
      </c>
      <c r="U149" s="27">
        <v>77.433333333333337</v>
      </c>
      <c r="V149" s="27">
        <v>74.922222222222217</v>
      </c>
      <c r="W149" s="27">
        <v>67</v>
      </c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27">
        <v>0</v>
      </c>
      <c r="AD149" s="27">
        <v>449.38888888888891</v>
      </c>
      <c r="AE149" s="27">
        <v>0</v>
      </c>
      <c r="AF149" s="27">
        <v>0</v>
      </c>
      <c r="AG149" s="27">
        <v>518.18333333333339</v>
      </c>
      <c r="AH149" s="27">
        <v>449.38888888888891</v>
      </c>
      <c r="AI149" s="27">
        <v>518.18333333333339</v>
      </c>
      <c r="AJ149" s="28">
        <v>43.5</v>
      </c>
      <c r="AK149" s="28">
        <v>2.9555555555555557</v>
      </c>
      <c r="AL149" s="28">
        <v>46.455555555555556</v>
      </c>
      <c r="AM149" s="29">
        <v>81</v>
      </c>
      <c r="AN149" s="35">
        <v>78</v>
      </c>
      <c r="AO149" s="27">
        <v>78</v>
      </c>
      <c r="AP149" s="27">
        <v>78</v>
      </c>
      <c r="AQ149" s="27">
        <v>78</v>
      </c>
      <c r="AR149" s="27">
        <v>75</v>
      </c>
      <c r="AS149" s="27">
        <v>52</v>
      </c>
      <c r="AT149" s="27">
        <v>0</v>
      </c>
      <c r="AU149" s="27">
        <v>0</v>
      </c>
      <c r="AV149" s="27">
        <v>0</v>
      </c>
      <c r="AW149" s="27">
        <v>0</v>
      </c>
      <c r="AX149" s="27">
        <v>0</v>
      </c>
      <c r="AY149" s="27">
        <v>0</v>
      </c>
      <c r="AZ149" s="27">
        <v>439</v>
      </c>
      <c r="BA149" s="27">
        <v>0</v>
      </c>
      <c r="BB149" s="27">
        <v>0</v>
      </c>
      <c r="BC149" s="27">
        <v>520</v>
      </c>
      <c r="BD149" s="27">
        <v>439</v>
      </c>
      <c r="BE149" s="27">
        <v>520</v>
      </c>
      <c r="BF149" s="27">
        <v>40</v>
      </c>
      <c r="BG149" s="27">
        <v>41</v>
      </c>
      <c r="BH149" s="27">
        <v>0</v>
      </c>
      <c r="BI149" s="27">
        <v>52</v>
      </c>
      <c r="BJ149" s="27">
        <v>45</v>
      </c>
      <c r="BK149" s="29">
        <v>4</v>
      </c>
      <c r="BL149" s="29">
        <v>49</v>
      </c>
      <c r="BM149" s="29">
        <v>3</v>
      </c>
      <c r="BN149" s="30">
        <v>7.0588235294117674E-2</v>
      </c>
      <c r="BO149" s="31">
        <v>25.5</v>
      </c>
      <c r="BP149" s="31">
        <v>25</v>
      </c>
      <c r="BQ149" s="31">
        <v>24.5</v>
      </c>
      <c r="BR149" s="31">
        <v>26.021000000000001</v>
      </c>
      <c r="BS149" s="32">
        <v>0</v>
      </c>
      <c r="BT149" s="32">
        <v>0</v>
      </c>
      <c r="BU149" s="33">
        <v>0</v>
      </c>
      <c r="BV149" s="33">
        <v>39.594444000000003</v>
      </c>
      <c r="BW149" s="33">
        <v>40</v>
      </c>
      <c r="BX149" s="33">
        <v>79.594444444444449</v>
      </c>
      <c r="BY149" s="33">
        <v>75.8</v>
      </c>
      <c r="BZ149" s="33">
        <v>76</v>
      </c>
      <c r="CA149" s="33">
        <v>78</v>
      </c>
      <c r="CB149" s="33">
        <v>76.388888888888886</v>
      </c>
      <c r="CC149" s="33">
        <v>74.388888888888886</v>
      </c>
      <c r="CD149" s="33">
        <v>51.455555555555556</v>
      </c>
      <c r="CE149" s="33">
        <v>0</v>
      </c>
      <c r="CF149" s="33">
        <v>0</v>
      </c>
      <c r="CG149" s="33">
        <v>0</v>
      </c>
      <c r="CH149" s="33">
        <v>0</v>
      </c>
      <c r="CI149" s="33">
        <v>0</v>
      </c>
      <c r="CJ149" s="33">
        <v>0</v>
      </c>
      <c r="CK149" s="33">
        <v>432.03333333333336</v>
      </c>
      <c r="CL149" s="33">
        <v>0</v>
      </c>
      <c r="CM149" s="33">
        <v>0</v>
      </c>
      <c r="CN149" s="33">
        <v>511.62777777777779</v>
      </c>
      <c r="CO149" s="33">
        <v>432.03333333333336</v>
      </c>
      <c r="CP149" s="33">
        <v>511.62777777777779</v>
      </c>
      <c r="CQ149" s="33">
        <v>52.8888888888889</v>
      </c>
      <c r="CR149" s="33">
        <v>3.9722222222222201</v>
      </c>
      <c r="CS149" s="33">
        <v>56.861111111111121</v>
      </c>
      <c r="CT149" s="33">
        <v>0</v>
      </c>
      <c r="CU149" s="33">
        <v>39</v>
      </c>
      <c r="CV149" s="32">
        <v>39</v>
      </c>
      <c r="CW149" s="32">
        <v>78</v>
      </c>
      <c r="CX149" s="32">
        <v>78</v>
      </c>
      <c r="CY149" s="32">
        <v>77</v>
      </c>
      <c r="CZ149" s="32">
        <v>78</v>
      </c>
      <c r="DA149" s="32">
        <v>78</v>
      </c>
      <c r="DB149" s="32">
        <v>78</v>
      </c>
      <c r="DC149" s="32">
        <v>57</v>
      </c>
      <c r="DD149" s="32">
        <v>0</v>
      </c>
      <c r="DE149" s="32">
        <v>0</v>
      </c>
      <c r="DF149" s="32">
        <v>0</v>
      </c>
      <c r="DG149" s="32">
        <v>0</v>
      </c>
      <c r="DH149" s="32">
        <v>0</v>
      </c>
      <c r="DI149" s="32">
        <v>0</v>
      </c>
      <c r="DJ149" s="32">
        <v>446</v>
      </c>
      <c r="DK149" s="32">
        <v>0</v>
      </c>
      <c r="DL149" s="32">
        <v>0</v>
      </c>
      <c r="DM149" s="32">
        <v>524</v>
      </c>
      <c r="DN149" s="32">
        <v>446</v>
      </c>
      <c r="DO149" s="32">
        <v>524</v>
      </c>
      <c r="DP149" s="32">
        <v>0</v>
      </c>
      <c r="DQ149" s="32">
        <v>32</v>
      </c>
      <c r="DR149" s="32">
        <v>60</v>
      </c>
      <c r="DS149" s="32">
        <v>3</v>
      </c>
      <c r="DT149" s="32">
        <v>63</v>
      </c>
      <c r="DU149" s="32">
        <v>5</v>
      </c>
      <c r="DV149" s="33">
        <v>25</v>
      </c>
      <c r="DW149" s="33">
        <v>24</v>
      </c>
      <c r="DX149" s="33">
        <v>23.5</v>
      </c>
      <c r="DY149" s="33">
        <v>0</v>
      </c>
      <c r="DZ149" s="33">
        <v>0</v>
      </c>
      <c r="EA149" s="33">
        <v>25.5</v>
      </c>
      <c r="EB149" s="34">
        <v>6.7253372276238399E-2</v>
      </c>
      <c r="EC149" s="32"/>
      <c r="ED149" s="32">
        <v>79</v>
      </c>
      <c r="EE149" s="32">
        <v>443</v>
      </c>
      <c r="EF149" s="32">
        <v>443</v>
      </c>
      <c r="EG149" s="32">
        <v>0</v>
      </c>
      <c r="EH149" s="32">
        <v>0</v>
      </c>
      <c r="EI149" s="32">
        <v>522</v>
      </c>
      <c r="EJ149" s="32">
        <v>0</v>
      </c>
      <c r="EK149" s="32">
        <v>63</v>
      </c>
      <c r="EL149" s="32">
        <v>63</v>
      </c>
      <c r="EM149" s="32">
        <v>59</v>
      </c>
      <c r="EN149" s="32">
        <v>4</v>
      </c>
      <c r="EO149" s="32">
        <v>4</v>
      </c>
      <c r="EP149" s="33">
        <v>14.455</v>
      </c>
      <c r="EQ149" s="33">
        <v>0.91900000000000004</v>
      </c>
      <c r="ER149" s="33">
        <v>2.5470000000000002</v>
      </c>
      <c r="ES149" s="33">
        <v>0</v>
      </c>
      <c r="ET149" s="33">
        <v>2.806</v>
      </c>
      <c r="EU149" s="33">
        <v>20.727</v>
      </c>
    </row>
    <row r="150" spans="1:151" ht="27.6" x14ac:dyDescent="0.3">
      <c r="A150" s="25" t="s">
        <v>137</v>
      </c>
      <c r="B150" s="26" t="s">
        <v>370</v>
      </c>
      <c r="C150" s="27" t="s">
        <v>138</v>
      </c>
      <c r="D150" s="27" t="s">
        <v>272</v>
      </c>
      <c r="E150" s="26" t="s">
        <v>504</v>
      </c>
      <c r="F150" s="26" t="s">
        <v>504</v>
      </c>
      <c r="G150" s="28">
        <v>253.35555555555555</v>
      </c>
      <c r="H150" s="28">
        <v>11.672222222222222</v>
      </c>
      <c r="I150" s="29">
        <v>144</v>
      </c>
      <c r="J150" s="29">
        <v>931</v>
      </c>
      <c r="K150" s="29">
        <v>402</v>
      </c>
      <c r="L150" s="29">
        <v>671</v>
      </c>
      <c r="M150" s="29">
        <v>2148</v>
      </c>
      <c r="N150" s="29">
        <v>2004</v>
      </c>
      <c r="O150" s="29">
        <v>1477</v>
      </c>
      <c r="P150" s="29">
        <v>11</v>
      </c>
      <c r="Q150" s="27">
        <v>145.31666666666666</v>
      </c>
      <c r="R150" s="27">
        <v>147.56666666666666</v>
      </c>
      <c r="S150" s="27">
        <v>149.19999999999999</v>
      </c>
      <c r="T150" s="27">
        <v>147.57777777777778</v>
      </c>
      <c r="U150" s="27">
        <v>148.94444444444446</v>
      </c>
      <c r="V150" s="27">
        <v>146.4</v>
      </c>
      <c r="W150" s="27">
        <v>182.29444444444445</v>
      </c>
      <c r="X150" s="27">
        <v>187.04444444444445</v>
      </c>
      <c r="Y150" s="27">
        <v>202.38888888888889</v>
      </c>
      <c r="Z150" s="27">
        <v>181.08333333333334</v>
      </c>
      <c r="AA150" s="27">
        <v>174.18333333333334</v>
      </c>
      <c r="AB150" s="27">
        <v>169.95</v>
      </c>
      <c r="AC150" s="27">
        <v>129.30555555555554</v>
      </c>
      <c r="AD150" s="27">
        <v>921.98333333333335</v>
      </c>
      <c r="AE150" s="27">
        <v>389.43333333333334</v>
      </c>
      <c r="AF150" s="27">
        <v>654.52222222222224</v>
      </c>
      <c r="AG150" s="27">
        <v>1456.7333333333333</v>
      </c>
      <c r="AH150" s="27">
        <v>1965.9388888888889</v>
      </c>
      <c r="AI150" s="27">
        <v>2111.2555555555555</v>
      </c>
      <c r="AJ150" s="28">
        <v>255.86111111111111</v>
      </c>
      <c r="AK150" s="28">
        <v>14.822222222222223</v>
      </c>
      <c r="AL150" s="28">
        <v>270.68333333333334</v>
      </c>
      <c r="AM150" s="29">
        <v>147</v>
      </c>
      <c r="AN150" s="35">
        <v>143</v>
      </c>
      <c r="AO150" s="27">
        <v>148</v>
      </c>
      <c r="AP150" s="27">
        <v>146</v>
      </c>
      <c r="AQ150" s="27">
        <v>138</v>
      </c>
      <c r="AR150" s="27">
        <v>151</v>
      </c>
      <c r="AS150" s="27">
        <v>169</v>
      </c>
      <c r="AT150" s="27">
        <v>191</v>
      </c>
      <c r="AU150" s="27">
        <v>193</v>
      </c>
      <c r="AV150" s="27">
        <v>206</v>
      </c>
      <c r="AW150" s="27">
        <v>150</v>
      </c>
      <c r="AX150" s="27">
        <v>154</v>
      </c>
      <c r="AY150" s="27">
        <v>163</v>
      </c>
      <c r="AZ150" s="27">
        <v>895</v>
      </c>
      <c r="BA150" s="27">
        <v>384</v>
      </c>
      <c r="BB150" s="27">
        <v>673</v>
      </c>
      <c r="BC150" s="27">
        <v>1426</v>
      </c>
      <c r="BD150" s="27">
        <v>1952</v>
      </c>
      <c r="BE150" s="27">
        <v>2099</v>
      </c>
      <c r="BF150" s="27">
        <v>100</v>
      </c>
      <c r="BG150" s="27">
        <v>47</v>
      </c>
      <c r="BH150" s="27">
        <v>7</v>
      </c>
      <c r="BI150" s="27">
        <v>439</v>
      </c>
      <c r="BJ150" s="27">
        <v>243</v>
      </c>
      <c r="BK150" s="29">
        <v>18</v>
      </c>
      <c r="BL150" s="29">
        <v>261</v>
      </c>
      <c r="BM150" s="29">
        <v>209</v>
      </c>
      <c r="BN150" s="30">
        <v>7.2258465811285477E-2</v>
      </c>
      <c r="BO150" s="31">
        <v>148.97500000000002</v>
      </c>
      <c r="BP150" s="31">
        <v>145.97500000000002</v>
      </c>
      <c r="BQ150" s="31">
        <v>136.535</v>
      </c>
      <c r="BR150" s="31">
        <v>147.47500000000002</v>
      </c>
      <c r="BS150" s="32">
        <v>0</v>
      </c>
      <c r="BT150" s="32">
        <v>0</v>
      </c>
      <c r="BU150" s="33">
        <v>0</v>
      </c>
      <c r="BV150" s="33">
        <v>47.927776999999999</v>
      </c>
      <c r="BW150" s="33">
        <v>96.916666000000006</v>
      </c>
      <c r="BX150" s="33">
        <v>144.84444444444443</v>
      </c>
      <c r="BY150" s="33">
        <v>141.95555555555555</v>
      </c>
      <c r="BZ150" s="33">
        <v>147.48888888888888</v>
      </c>
      <c r="CA150" s="33">
        <v>146.19999999999999</v>
      </c>
      <c r="CB150" s="33">
        <v>136.23333333333332</v>
      </c>
      <c r="CC150" s="33">
        <v>152.07222222222222</v>
      </c>
      <c r="CD150" s="33">
        <v>167.43333333333334</v>
      </c>
      <c r="CE150" s="33">
        <v>192.61111111111111</v>
      </c>
      <c r="CF150" s="33">
        <v>194.96111111111111</v>
      </c>
      <c r="CG150" s="33">
        <v>202.19444444444446</v>
      </c>
      <c r="CH150" s="33">
        <v>145.61666666666667</v>
      </c>
      <c r="CI150" s="33">
        <v>148.80555555555554</v>
      </c>
      <c r="CJ150" s="33">
        <v>149.9111111111111</v>
      </c>
      <c r="CK150" s="33">
        <v>891.38333333333321</v>
      </c>
      <c r="CL150" s="33">
        <v>387.57222222222219</v>
      </c>
      <c r="CM150" s="33">
        <v>646.52777777777783</v>
      </c>
      <c r="CN150" s="33">
        <v>1423.7999999999997</v>
      </c>
      <c r="CO150" s="33">
        <v>1925.4833333333331</v>
      </c>
      <c r="CP150" s="33">
        <v>2070.3277777777776</v>
      </c>
      <c r="CQ150" s="33">
        <v>247.82777777777801</v>
      </c>
      <c r="CR150" s="33">
        <v>13.922222222222199</v>
      </c>
      <c r="CS150" s="33">
        <v>261.75000000000023</v>
      </c>
      <c r="CT150" s="33">
        <v>0</v>
      </c>
      <c r="CU150" s="33">
        <v>99</v>
      </c>
      <c r="CV150" s="32">
        <v>37</v>
      </c>
      <c r="CW150" s="32">
        <v>136</v>
      </c>
      <c r="CX150" s="32">
        <v>143</v>
      </c>
      <c r="CY150" s="32">
        <v>139</v>
      </c>
      <c r="CZ150" s="32">
        <v>151</v>
      </c>
      <c r="DA150" s="32">
        <v>156</v>
      </c>
      <c r="DB150" s="32">
        <v>141</v>
      </c>
      <c r="DC150" s="32">
        <v>181</v>
      </c>
      <c r="DD150" s="32">
        <v>176</v>
      </c>
      <c r="DE150" s="32">
        <v>204</v>
      </c>
      <c r="DF150" s="32">
        <v>179</v>
      </c>
      <c r="DG150" s="32">
        <v>157</v>
      </c>
      <c r="DH150" s="32">
        <v>140</v>
      </c>
      <c r="DI150" s="32">
        <v>137</v>
      </c>
      <c r="DJ150" s="32">
        <v>911</v>
      </c>
      <c r="DK150" s="32">
        <v>380</v>
      </c>
      <c r="DL150" s="32">
        <v>613</v>
      </c>
      <c r="DM150" s="32">
        <v>1427</v>
      </c>
      <c r="DN150" s="32">
        <v>1904</v>
      </c>
      <c r="DO150" s="32">
        <v>2040</v>
      </c>
      <c r="DP150" s="32">
        <v>7</v>
      </c>
      <c r="DQ150" s="32">
        <v>403</v>
      </c>
      <c r="DR150" s="32">
        <v>242</v>
      </c>
      <c r="DS150" s="32">
        <v>7</v>
      </c>
      <c r="DT150" s="32">
        <v>249</v>
      </c>
      <c r="DU150" s="32">
        <v>190</v>
      </c>
      <c r="DV150" s="33">
        <v>149.07999999999998</v>
      </c>
      <c r="DW150" s="33">
        <v>146.07999999999998</v>
      </c>
      <c r="DX150" s="33">
        <v>49.15</v>
      </c>
      <c r="DY150" s="33">
        <v>73.89</v>
      </c>
      <c r="DZ150" s="33">
        <v>0</v>
      </c>
      <c r="EA150" s="33">
        <v>149.07999999999998</v>
      </c>
      <c r="EB150" s="34">
        <v>7.5052232049585332E-2</v>
      </c>
      <c r="EC150" s="32"/>
      <c r="ED150" s="32">
        <v>110</v>
      </c>
      <c r="EE150" s="32">
        <v>1929</v>
      </c>
      <c r="EF150" s="32">
        <v>898</v>
      </c>
      <c r="EG150" s="32">
        <v>394</v>
      </c>
      <c r="EH150" s="32">
        <v>637</v>
      </c>
      <c r="EI150" s="32">
        <v>2039</v>
      </c>
      <c r="EJ150" s="32">
        <v>0</v>
      </c>
      <c r="EK150" s="32">
        <v>243</v>
      </c>
      <c r="EL150" s="32">
        <v>243</v>
      </c>
      <c r="EM150" s="32">
        <v>239</v>
      </c>
      <c r="EN150" s="32">
        <v>4</v>
      </c>
      <c r="EO150" s="32">
        <v>18</v>
      </c>
      <c r="EP150" s="33">
        <v>38.645000000000003</v>
      </c>
      <c r="EQ150" s="33">
        <v>1.0780000000000001</v>
      </c>
      <c r="ER150" s="33">
        <v>7.4669999999999996</v>
      </c>
      <c r="ES150" s="33">
        <v>4.431</v>
      </c>
      <c r="ET150" s="33">
        <v>18.173999999999999</v>
      </c>
      <c r="EU150" s="33">
        <v>69.795000000000002</v>
      </c>
    </row>
    <row r="151" spans="1:151" ht="41.4" x14ac:dyDescent="0.3">
      <c r="A151" s="25" t="s">
        <v>155</v>
      </c>
      <c r="B151" s="26" t="s">
        <v>382</v>
      </c>
      <c r="C151" s="27" t="s">
        <v>156</v>
      </c>
      <c r="D151" s="27" t="s">
        <v>272</v>
      </c>
      <c r="E151" s="26" t="s">
        <v>504</v>
      </c>
      <c r="F151" s="26" t="s">
        <v>504</v>
      </c>
      <c r="G151" s="28">
        <v>174.53888888888889</v>
      </c>
      <c r="H151" s="28">
        <v>1.2444444444444445</v>
      </c>
      <c r="I151" s="29">
        <v>0</v>
      </c>
      <c r="J151" s="29">
        <v>0</v>
      </c>
      <c r="K151" s="29">
        <v>187</v>
      </c>
      <c r="L151" s="29">
        <v>787</v>
      </c>
      <c r="M151" s="29">
        <v>974</v>
      </c>
      <c r="N151" s="29">
        <v>974</v>
      </c>
      <c r="O151" s="29">
        <v>187</v>
      </c>
      <c r="P151" s="29">
        <v>9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79.094444444444449</v>
      </c>
      <c r="Y151" s="27">
        <v>128.92777777777778</v>
      </c>
      <c r="Z151" s="27">
        <v>205.1</v>
      </c>
      <c r="AA151" s="27">
        <v>197.65</v>
      </c>
      <c r="AB151" s="27">
        <v>209.11666666666667</v>
      </c>
      <c r="AC151" s="27">
        <v>161.86111111111111</v>
      </c>
      <c r="AD151" s="27">
        <v>0</v>
      </c>
      <c r="AE151" s="27">
        <v>208.02222222222224</v>
      </c>
      <c r="AF151" s="27">
        <v>773.72777777777776</v>
      </c>
      <c r="AG151" s="27">
        <v>208.02222222222224</v>
      </c>
      <c r="AH151" s="27">
        <v>981.75</v>
      </c>
      <c r="AI151" s="27">
        <v>981.75</v>
      </c>
      <c r="AJ151" s="28">
        <v>177.92777777777778</v>
      </c>
      <c r="AK151" s="28">
        <v>7.2277777777777779</v>
      </c>
      <c r="AL151" s="28">
        <v>185.15555555555557</v>
      </c>
      <c r="AM151" s="29">
        <v>0</v>
      </c>
      <c r="AN151" s="35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  <c r="AT151" s="27">
        <v>59</v>
      </c>
      <c r="AU151" s="27">
        <v>101</v>
      </c>
      <c r="AV151" s="27">
        <v>157</v>
      </c>
      <c r="AW151" s="27">
        <v>191</v>
      </c>
      <c r="AX151" s="27">
        <v>217</v>
      </c>
      <c r="AY151" s="27">
        <v>198</v>
      </c>
      <c r="AZ151" s="27">
        <v>0</v>
      </c>
      <c r="BA151" s="27">
        <v>160</v>
      </c>
      <c r="BB151" s="27">
        <v>763</v>
      </c>
      <c r="BC151" s="27">
        <v>160</v>
      </c>
      <c r="BD151" s="27">
        <v>923</v>
      </c>
      <c r="BE151" s="27">
        <v>923</v>
      </c>
      <c r="BF151" s="27">
        <v>0</v>
      </c>
      <c r="BG151" s="27">
        <v>0</v>
      </c>
      <c r="BH151" s="27">
        <v>0</v>
      </c>
      <c r="BI151" s="27">
        <v>135</v>
      </c>
      <c r="BJ151" s="27">
        <v>166</v>
      </c>
      <c r="BK151" s="29">
        <v>9</v>
      </c>
      <c r="BL151" s="29">
        <v>175</v>
      </c>
      <c r="BM151" s="29">
        <v>29</v>
      </c>
      <c r="BN151" s="30">
        <v>8.7423750462570671E-2</v>
      </c>
      <c r="BO151" s="31">
        <v>82.582999999999998</v>
      </c>
      <c r="BP151" s="31">
        <v>82.582999999999998</v>
      </c>
      <c r="BQ151" s="31">
        <v>76.582999999999998</v>
      </c>
      <c r="BR151" s="31">
        <v>76.582999999999998</v>
      </c>
      <c r="BS151" s="32">
        <v>974</v>
      </c>
      <c r="BT151" s="32">
        <v>464</v>
      </c>
      <c r="BU151" s="33">
        <v>668.2</v>
      </c>
      <c r="BV151" s="33">
        <v>0</v>
      </c>
      <c r="BW151" s="33">
        <v>0</v>
      </c>
      <c r="BX151" s="33">
        <v>0</v>
      </c>
      <c r="BY151" s="33">
        <v>0</v>
      </c>
      <c r="BZ151" s="33">
        <v>0</v>
      </c>
      <c r="CA151" s="33">
        <v>0</v>
      </c>
      <c r="CB151" s="33">
        <v>0</v>
      </c>
      <c r="CC151" s="33">
        <v>0</v>
      </c>
      <c r="CD151" s="33">
        <v>0</v>
      </c>
      <c r="CE151" s="33">
        <v>68.5</v>
      </c>
      <c r="CF151" s="33">
        <v>121.16666666666667</v>
      </c>
      <c r="CG151" s="33">
        <v>183.37222222222223</v>
      </c>
      <c r="CH151" s="33">
        <v>210.1</v>
      </c>
      <c r="CI151" s="33">
        <v>213.6</v>
      </c>
      <c r="CJ151" s="33">
        <v>174.73888888888888</v>
      </c>
      <c r="CK151" s="33">
        <v>0</v>
      </c>
      <c r="CL151" s="33">
        <v>189.66666666666669</v>
      </c>
      <c r="CM151" s="33">
        <v>781.81111111111113</v>
      </c>
      <c r="CN151" s="33">
        <v>189.66666666666669</v>
      </c>
      <c r="CO151" s="33">
        <v>971.47777777777787</v>
      </c>
      <c r="CP151" s="33">
        <v>971.47777777777787</v>
      </c>
      <c r="CQ151" s="33">
        <v>195.85</v>
      </c>
      <c r="CR151" s="33">
        <v>9.2333333333333307</v>
      </c>
      <c r="CS151" s="33">
        <v>205.08333333333331</v>
      </c>
      <c r="CT151" s="33">
        <v>711.338888</v>
      </c>
      <c r="CU151" s="33">
        <v>0</v>
      </c>
      <c r="CV151" s="32">
        <v>0</v>
      </c>
      <c r="CW151" s="32">
        <v>0</v>
      </c>
      <c r="CX151" s="32">
        <v>0</v>
      </c>
      <c r="CY151" s="32">
        <v>0</v>
      </c>
      <c r="CZ151" s="32">
        <v>0</v>
      </c>
      <c r="DA151" s="32">
        <v>0</v>
      </c>
      <c r="DB151" s="32">
        <v>0</v>
      </c>
      <c r="DC151" s="32">
        <v>0</v>
      </c>
      <c r="DD151" s="32">
        <v>50</v>
      </c>
      <c r="DE151" s="32">
        <v>101</v>
      </c>
      <c r="DF151" s="32">
        <v>141</v>
      </c>
      <c r="DG151" s="32">
        <v>167</v>
      </c>
      <c r="DH151" s="32">
        <v>251</v>
      </c>
      <c r="DI151" s="32">
        <v>191</v>
      </c>
      <c r="DJ151" s="32">
        <v>0</v>
      </c>
      <c r="DK151" s="32">
        <v>151</v>
      </c>
      <c r="DL151" s="32">
        <v>750</v>
      </c>
      <c r="DM151" s="32">
        <v>151</v>
      </c>
      <c r="DN151" s="32">
        <v>901</v>
      </c>
      <c r="DO151" s="32">
        <v>901</v>
      </c>
      <c r="DP151" s="32">
        <v>0</v>
      </c>
      <c r="DQ151" s="32">
        <v>153</v>
      </c>
      <c r="DR151" s="32">
        <v>177</v>
      </c>
      <c r="DS151" s="32">
        <v>1</v>
      </c>
      <c r="DT151" s="32">
        <v>178</v>
      </c>
      <c r="DU151" s="32">
        <v>27</v>
      </c>
      <c r="DV151" s="33">
        <v>87.097000000000008</v>
      </c>
      <c r="DW151" s="33">
        <v>87.097000000000008</v>
      </c>
      <c r="DX151" s="33">
        <v>0</v>
      </c>
      <c r="DY151" s="33">
        <v>74.021999999999991</v>
      </c>
      <c r="DZ151" s="33">
        <v>0</v>
      </c>
      <c r="EA151" s="33">
        <v>88.096999999999994</v>
      </c>
      <c r="EB151" s="34">
        <v>8.6979379636661081E-2</v>
      </c>
      <c r="EC151" s="32"/>
      <c r="ED151" s="32">
        <v>0</v>
      </c>
      <c r="EE151" s="32">
        <v>901</v>
      </c>
      <c r="EF151" s="32">
        <v>0</v>
      </c>
      <c r="EG151" s="32">
        <v>156</v>
      </c>
      <c r="EH151" s="32">
        <v>745</v>
      </c>
      <c r="EI151" s="32">
        <v>901</v>
      </c>
      <c r="EJ151" s="32">
        <v>0</v>
      </c>
      <c r="EK151" s="32">
        <v>174</v>
      </c>
      <c r="EL151" s="32">
        <v>174</v>
      </c>
      <c r="EM151" s="32">
        <v>174</v>
      </c>
      <c r="EN151" s="32">
        <v>0</v>
      </c>
      <c r="EO151" s="32">
        <v>4</v>
      </c>
      <c r="EP151" s="33">
        <v>7.7</v>
      </c>
      <c r="EQ151" s="33">
        <v>0</v>
      </c>
      <c r="ER151" s="33">
        <v>10.488</v>
      </c>
      <c r="ES151" s="33">
        <v>0.75</v>
      </c>
      <c r="ET151" s="33">
        <v>0</v>
      </c>
      <c r="EU151" s="33">
        <v>18.937999999999999</v>
      </c>
    </row>
    <row r="152" spans="1:151" ht="27.6" x14ac:dyDescent="0.3">
      <c r="A152" s="25" t="s">
        <v>197</v>
      </c>
      <c r="B152" s="26" t="s">
        <v>418</v>
      </c>
      <c r="C152" s="27" t="s">
        <v>198</v>
      </c>
      <c r="D152" s="27" t="s">
        <v>272</v>
      </c>
      <c r="E152" s="26" t="s">
        <v>504</v>
      </c>
      <c r="F152" s="26" t="s">
        <v>504</v>
      </c>
      <c r="G152" s="28">
        <v>40.68333333333333</v>
      </c>
      <c r="H152" s="28">
        <v>2.9444444444444446</v>
      </c>
      <c r="I152" s="29">
        <v>0</v>
      </c>
      <c r="J152" s="29">
        <v>0</v>
      </c>
      <c r="K152" s="29">
        <v>0</v>
      </c>
      <c r="L152" s="29">
        <v>182</v>
      </c>
      <c r="M152" s="29">
        <v>182</v>
      </c>
      <c r="N152" s="29">
        <v>182</v>
      </c>
      <c r="O152" s="29">
        <v>0</v>
      </c>
      <c r="P152" s="29">
        <v>3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>
        <v>25.1</v>
      </c>
      <c r="AA152" s="27">
        <v>45.416666666666664</v>
      </c>
      <c r="AB152" s="27">
        <v>63.43888888888889</v>
      </c>
      <c r="AC152" s="27">
        <v>45.155555555555559</v>
      </c>
      <c r="AD152" s="27">
        <v>0</v>
      </c>
      <c r="AE152" s="27">
        <v>0</v>
      </c>
      <c r="AF152" s="27">
        <v>179.11111111111111</v>
      </c>
      <c r="AG152" s="27">
        <v>0</v>
      </c>
      <c r="AH152" s="27">
        <v>179.11111111111111</v>
      </c>
      <c r="AI152" s="27">
        <v>179.11111111111111</v>
      </c>
      <c r="AJ152" s="28">
        <v>43.7</v>
      </c>
      <c r="AK152" s="28">
        <v>2.2555555555555555</v>
      </c>
      <c r="AL152" s="28">
        <v>45.955555555555556</v>
      </c>
      <c r="AM152" s="29">
        <v>0</v>
      </c>
      <c r="AN152" s="35">
        <v>0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  <c r="AT152" s="27">
        <v>0</v>
      </c>
      <c r="AU152" s="27">
        <v>0</v>
      </c>
      <c r="AV152" s="27">
        <v>27</v>
      </c>
      <c r="AW152" s="27">
        <v>39</v>
      </c>
      <c r="AX152" s="27">
        <v>57</v>
      </c>
      <c r="AY152" s="27">
        <v>45</v>
      </c>
      <c r="AZ152" s="27">
        <v>0</v>
      </c>
      <c r="BA152" s="27">
        <v>0</v>
      </c>
      <c r="BB152" s="27">
        <v>168</v>
      </c>
      <c r="BC152" s="27">
        <v>0</v>
      </c>
      <c r="BD152" s="27">
        <v>168</v>
      </c>
      <c r="BE152" s="27">
        <v>168</v>
      </c>
      <c r="BF152" s="27">
        <v>0</v>
      </c>
      <c r="BG152" s="27">
        <v>0</v>
      </c>
      <c r="BH152" s="27">
        <v>0</v>
      </c>
      <c r="BI152" s="27">
        <v>15</v>
      </c>
      <c r="BJ152" s="27">
        <v>38</v>
      </c>
      <c r="BK152" s="29">
        <v>1</v>
      </c>
      <c r="BL152" s="29">
        <v>39</v>
      </c>
      <c r="BM152" s="29">
        <v>0</v>
      </c>
      <c r="BN152" s="30">
        <v>8.3333333333333315E-2</v>
      </c>
      <c r="BO152" s="31">
        <v>15.793000000000001</v>
      </c>
      <c r="BP152" s="31">
        <v>14.293000000000001</v>
      </c>
      <c r="BQ152" s="31">
        <v>13.793000000000001</v>
      </c>
      <c r="BR152" s="31">
        <v>15.293000000000001</v>
      </c>
      <c r="BS152" s="32">
        <v>0</v>
      </c>
      <c r="BT152" s="32">
        <v>0</v>
      </c>
      <c r="BU152" s="33">
        <v>0</v>
      </c>
      <c r="BV152" s="33">
        <v>0</v>
      </c>
      <c r="BW152" s="33">
        <v>0</v>
      </c>
      <c r="BX152" s="33">
        <v>0</v>
      </c>
      <c r="BY152" s="33">
        <v>0</v>
      </c>
      <c r="BZ152" s="33">
        <v>0</v>
      </c>
      <c r="CA152" s="33">
        <v>0</v>
      </c>
      <c r="CB152" s="33">
        <v>0</v>
      </c>
      <c r="CC152" s="33">
        <v>0</v>
      </c>
      <c r="CD152" s="33">
        <v>0</v>
      </c>
      <c r="CE152" s="33">
        <v>0</v>
      </c>
      <c r="CF152" s="33">
        <v>0</v>
      </c>
      <c r="CG152" s="33">
        <v>26.777777777777779</v>
      </c>
      <c r="CH152" s="33">
        <v>34.511111111111113</v>
      </c>
      <c r="CI152" s="33">
        <v>50.633333333333333</v>
      </c>
      <c r="CJ152" s="33">
        <v>40.1</v>
      </c>
      <c r="CK152" s="33">
        <v>0</v>
      </c>
      <c r="CL152" s="33">
        <v>0</v>
      </c>
      <c r="CM152" s="33">
        <v>152.02222222222221</v>
      </c>
      <c r="CN152" s="33">
        <v>0</v>
      </c>
      <c r="CO152" s="33">
        <v>152.02222222222221</v>
      </c>
      <c r="CP152" s="33">
        <v>152.02222222222221</v>
      </c>
      <c r="CQ152" s="33">
        <v>38.1944444444444</v>
      </c>
      <c r="CR152" s="33">
        <v>1.75555555555556</v>
      </c>
      <c r="CS152" s="33">
        <v>39.94999999999996</v>
      </c>
      <c r="CT152" s="33">
        <v>0</v>
      </c>
      <c r="CU152" s="33">
        <v>0</v>
      </c>
      <c r="CV152" s="32">
        <v>0</v>
      </c>
      <c r="CW152" s="32">
        <v>0</v>
      </c>
      <c r="CX152" s="32">
        <v>0</v>
      </c>
      <c r="CY152" s="32">
        <v>0</v>
      </c>
      <c r="CZ152" s="32">
        <v>0</v>
      </c>
      <c r="DA152" s="32">
        <v>0</v>
      </c>
      <c r="DB152" s="32">
        <v>0</v>
      </c>
      <c r="DC152" s="32">
        <v>0</v>
      </c>
      <c r="DD152" s="32">
        <v>0</v>
      </c>
      <c r="DE152" s="32">
        <v>0</v>
      </c>
      <c r="DF152" s="32">
        <v>19</v>
      </c>
      <c r="DG152" s="32">
        <v>36</v>
      </c>
      <c r="DH152" s="32">
        <v>48</v>
      </c>
      <c r="DI152" s="32">
        <v>45</v>
      </c>
      <c r="DJ152" s="32">
        <v>0</v>
      </c>
      <c r="DK152" s="32">
        <v>0</v>
      </c>
      <c r="DL152" s="32">
        <v>148</v>
      </c>
      <c r="DM152" s="32">
        <v>0</v>
      </c>
      <c r="DN152" s="32">
        <v>148</v>
      </c>
      <c r="DO152" s="32">
        <v>148</v>
      </c>
      <c r="DP152" s="32">
        <v>0</v>
      </c>
      <c r="DQ152" s="32">
        <v>11</v>
      </c>
      <c r="DR152" s="32">
        <v>43</v>
      </c>
      <c r="DS152" s="32">
        <v>2</v>
      </c>
      <c r="DT152" s="32">
        <v>45</v>
      </c>
      <c r="DU152" s="32">
        <v>0</v>
      </c>
      <c r="DV152" s="33">
        <v>13.5</v>
      </c>
      <c r="DW152" s="33">
        <v>11.7575</v>
      </c>
      <c r="DX152" s="33">
        <v>0</v>
      </c>
      <c r="DY152" s="33">
        <v>10.389000000000001</v>
      </c>
      <c r="DZ152" s="33">
        <v>0</v>
      </c>
      <c r="EA152" s="33">
        <v>14</v>
      </c>
      <c r="EB152" s="34">
        <v>6.3077722693107297E-2</v>
      </c>
      <c r="EC152" s="32"/>
      <c r="ED152" s="32">
        <v>0</v>
      </c>
      <c r="EE152" s="32">
        <v>148</v>
      </c>
      <c r="EF152" s="32">
        <v>0</v>
      </c>
      <c r="EG152" s="32">
        <v>0</v>
      </c>
      <c r="EH152" s="32">
        <v>148</v>
      </c>
      <c r="EI152" s="32">
        <v>148</v>
      </c>
      <c r="EJ152" s="32">
        <v>0</v>
      </c>
      <c r="EK152" s="32">
        <v>43</v>
      </c>
      <c r="EL152" s="32">
        <v>43</v>
      </c>
      <c r="EM152" s="32">
        <v>42</v>
      </c>
      <c r="EN152" s="32">
        <v>1</v>
      </c>
      <c r="EO152" s="32">
        <v>1</v>
      </c>
      <c r="EP152" s="33">
        <v>3.25</v>
      </c>
      <c r="EQ152" s="33">
        <v>0</v>
      </c>
      <c r="ER152" s="33">
        <v>2.5</v>
      </c>
      <c r="ES152" s="33">
        <v>0</v>
      </c>
      <c r="ET152" s="33">
        <v>0</v>
      </c>
      <c r="EU152" s="33">
        <v>5.75</v>
      </c>
    </row>
    <row r="153" spans="1:151" ht="41.4" x14ac:dyDescent="0.3">
      <c r="A153" s="25" t="s">
        <v>211</v>
      </c>
      <c r="B153" s="26" t="s">
        <v>429</v>
      </c>
      <c r="C153" s="27" t="s">
        <v>430</v>
      </c>
      <c r="D153" s="27" t="s">
        <v>272</v>
      </c>
      <c r="E153" s="26" t="s">
        <v>504</v>
      </c>
      <c r="F153" s="26" t="s">
        <v>504</v>
      </c>
      <c r="G153" s="28">
        <v>52.461111111111109</v>
      </c>
      <c r="H153" s="28">
        <v>1</v>
      </c>
      <c r="I153" s="29">
        <v>14</v>
      </c>
      <c r="J153" s="29">
        <v>137</v>
      </c>
      <c r="K153" s="29">
        <v>76</v>
      </c>
      <c r="L153" s="29">
        <v>155</v>
      </c>
      <c r="M153" s="29">
        <v>382</v>
      </c>
      <c r="N153" s="29">
        <v>368</v>
      </c>
      <c r="O153" s="29">
        <v>227</v>
      </c>
      <c r="P153" s="29">
        <v>1</v>
      </c>
      <c r="Q153" s="27">
        <v>13.383333333333333</v>
      </c>
      <c r="R153" s="27">
        <v>14.694444444444445</v>
      </c>
      <c r="S153" s="27">
        <v>17.722222222222221</v>
      </c>
      <c r="T153" s="27">
        <v>18.783333333333335</v>
      </c>
      <c r="U153" s="27">
        <v>25.905555555555555</v>
      </c>
      <c r="V153" s="27">
        <v>25.527777777777779</v>
      </c>
      <c r="W153" s="27">
        <v>30.588888888888889</v>
      </c>
      <c r="X153" s="27">
        <v>33.56666666666667</v>
      </c>
      <c r="Y153" s="27">
        <v>42.727777777777774</v>
      </c>
      <c r="Z153" s="27">
        <v>41.661111111111111</v>
      </c>
      <c r="AA153" s="27">
        <v>27.505555555555556</v>
      </c>
      <c r="AB153" s="27">
        <v>38.961111111111109</v>
      </c>
      <c r="AC153" s="27">
        <v>41.43333333333333</v>
      </c>
      <c r="AD153" s="27">
        <v>133.22222222222223</v>
      </c>
      <c r="AE153" s="27">
        <v>76.294444444444451</v>
      </c>
      <c r="AF153" s="27">
        <v>149.5611111111111</v>
      </c>
      <c r="AG153" s="27">
        <v>222.89999999999998</v>
      </c>
      <c r="AH153" s="27">
        <v>359.07777777777773</v>
      </c>
      <c r="AI153" s="27">
        <v>372.46111111111105</v>
      </c>
      <c r="AJ153" s="28">
        <v>67.466666666666669</v>
      </c>
      <c r="AK153" s="28">
        <v>1</v>
      </c>
      <c r="AL153" s="28">
        <v>68.466666666666669</v>
      </c>
      <c r="AM153" s="29">
        <v>19</v>
      </c>
      <c r="AN153" s="35">
        <v>14</v>
      </c>
      <c r="AO153" s="27">
        <v>21</v>
      </c>
      <c r="AP153" s="27">
        <v>26</v>
      </c>
      <c r="AQ153" s="27">
        <v>36</v>
      </c>
      <c r="AR153" s="27">
        <v>35</v>
      </c>
      <c r="AS153" s="27">
        <v>38</v>
      </c>
      <c r="AT153" s="27">
        <v>46</v>
      </c>
      <c r="AU153" s="27">
        <v>55</v>
      </c>
      <c r="AV153" s="27">
        <v>58</v>
      </c>
      <c r="AW153" s="27">
        <v>62</v>
      </c>
      <c r="AX153" s="27">
        <v>34</v>
      </c>
      <c r="AY153" s="27">
        <v>32</v>
      </c>
      <c r="AZ153" s="27">
        <v>170</v>
      </c>
      <c r="BA153" s="27">
        <v>101</v>
      </c>
      <c r="BB153" s="27">
        <v>186</v>
      </c>
      <c r="BC153" s="27">
        <v>290</v>
      </c>
      <c r="BD153" s="27">
        <v>457</v>
      </c>
      <c r="BE153" s="27">
        <v>476</v>
      </c>
      <c r="BF153" s="27">
        <v>19</v>
      </c>
      <c r="BG153" s="27">
        <v>0</v>
      </c>
      <c r="BH153" s="27">
        <v>0</v>
      </c>
      <c r="BI153" s="27">
        <v>36</v>
      </c>
      <c r="BJ153" s="27">
        <v>81</v>
      </c>
      <c r="BK153" s="29">
        <v>0</v>
      </c>
      <c r="BL153" s="29">
        <v>81</v>
      </c>
      <c r="BM153" s="29">
        <v>7</v>
      </c>
      <c r="BN153" s="30">
        <v>7.9577354260089717E-2</v>
      </c>
      <c r="BO153" s="31">
        <v>36.995999999999995</v>
      </c>
      <c r="BP153" s="31">
        <v>34.995999999999995</v>
      </c>
      <c r="BQ153" s="31">
        <v>34.496000000000002</v>
      </c>
      <c r="BR153" s="31">
        <v>36.495999999999995</v>
      </c>
      <c r="BS153" s="32">
        <v>395</v>
      </c>
      <c r="BT153" s="32">
        <v>263</v>
      </c>
      <c r="BU153" s="33">
        <v>330.67777699999999</v>
      </c>
      <c r="BV153" s="33">
        <v>0</v>
      </c>
      <c r="BW153" s="33">
        <v>18.388888000000001</v>
      </c>
      <c r="BX153" s="33">
        <v>18.388888888888889</v>
      </c>
      <c r="BY153" s="33">
        <v>14.394444444444444</v>
      </c>
      <c r="BZ153" s="33">
        <v>19.005555555555556</v>
      </c>
      <c r="CA153" s="33">
        <v>26.711111111111112</v>
      </c>
      <c r="CB153" s="33">
        <v>34.516666666666666</v>
      </c>
      <c r="CC153" s="33">
        <v>33.577777777777776</v>
      </c>
      <c r="CD153" s="33">
        <v>38.68333333333333</v>
      </c>
      <c r="CE153" s="33">
        <v>47.111111111111114</v>
      </c>
      <c r="CF153" s="33">
        <v>52.355555555555554</v>
      </c>
      <c r="CG153" s="33">
        <v>56.572222222222223</v>
      </c>
      <c r="CH153" s="33">
        <v>58.677777777777777</v>
      </c>
      <c r="CI153" s="33">
        <v>32.227777777777774</v>
      </c>
      <c r="CJ153" s="33">
        <v>29.75</v>
      </c>
      <c r="CK153" s="33">
        <v>166.88888888888889</v>
      </c>
      <c r="CL153" s="33">
        <v>99.466666666666669</v>
      </c>
      <c r="CM153" s="33">
        <v>177.22777777777776</v>
      </c>
      <c r="CN153" s="33">
        <v>284.74444444444441</v>
      </c>
      <c r="CO153" s="33">
        <v>443.58333333333337</v>
      </c>
      <c r="CP153" s="33">
        <v>461.97222222222217</v>
      </c>
      <c r="CQ153" s="33">
        <v>81.961111111111094</v>
      </c>
      <c r="CR153" s="33">
        <v>0</v>
      </c>
      <c r="CS153" s="33">
        <v>81.961111111111094</v>
      </c>
      <c r="CT153" s="33">
        <v>383.69444399999998</v>
      </c>
      <c r="CU153" s="33">
        <v>17</v>
      </c>
      <c r="CV153" s="32">
        <v>0</v>
      </c>
      <c r="CW153" s="32">
        <v>17</v>
      </c>
      <c r="CX153" s="32">
        <v>19</v>
      </c>
      <c r="CY153" s="32">
        <v>15</v>
      </c>
      <c r="CZ153" s="32">
        <v>19</v>
      </c>
      <c r="DA153" s="32">
        <v>29</v>
      </c>
      <c r="DB153" s="32">
        <v>29</v>
      </c>
      <c r="DC153" s="32">
        <v>45</v>
      </c>
      <c r="DD153" s="32">
        <v>55</v>
      </c>
      <c r="DE153" s="32">
        <v>49</v>
      </c>
      <c r="DF153" s="32">
        <v>46</v>
      </c>
      <c r="DG153" s="32">
        <v>54</v>
      </c>
      <c r="DH153" s="32">
        <v>57</v>
      </c>
      <c r="DI153" s="32">
        <v>26</v>
      </c>
      <c r="DJ153" s="32">
        <v>156</v>
      </c>
      <c r="DK153" s="32">
        <v>104</v>
      </c>
      <c r="DL153" s="32">
        <v>183</v>
      </c>
      <c r="DM153" s="32">
        <v>277</v>
      </c>
      <c r="DN153" s="32">
        <v>443</v>
      </c>
      <c r="DO153" s="32">
        <v>460</v>
      </c>
      <c r="DP153" s="32">
        <v>0</v>
      </c>
      <c r="DQ153" s="32">
        <v>81</v>
      </c>
      <c r="DR153" s="32">
        <v>88</v>
      </c>
      <c r="DS153" s="32">
        <v>0</v>
      </c>
      <c r="DT153" s="32">
        <v>88</v>
      </c>
      <c r="DU153" s="32">
        <v>1</v>
      </c>
      <c r="DV153" s="33">
        <v>37.687999999999981</v>
      </c>
      <c r="DW153" s="33">
        <v>35.687999999999981</v>
      </c>
      <c r="DX153" s="33">
        <v>12.430000000000001</v>
      </c>
      <c r="DY153" s="33">
        <v>18.458000000000002</v>
      </c>
      <c r="DZ153" s="33">
        <v>0</v>
      </c>
      <c r="EA153" s="33">
        <v>37.687999999999974</v>
      </c>
      <c r="EB153" s="34">
        <v>8.6204259815370998E-2</v>
      </c>
      <c r="EC153" s="32"/>
      <c r="ED153" s="32">
        <v>17</v>
      </c>
      <c r="EE153" s="32">
        <v>442</v>
      </c>
      <c r="EF153" s="32">
        <v>142</v>
      </c>
      <c r="EG153" s="32">
        <v>99</v>
      </c>
      <c r="EH153" s="32">
        <v>201</v>
      </c>
      <c r="EI153" s="32">
        <v>459</v>
      </c>
      <c r="EJ153" s="32">
        <v>0</v>
      </c>
      <c r="EK153" s="32">
        <v>93</v>
      </c>
      <c r="EL153" s="32">
        <v>93</v>
      </c>
      <c r="EM153" s="32">
        <v>93</v>
      </c>
      <c r="EN153" s="32">
        <v>0</v>
      </c>
      <c r="EO153" s="32">
        <v>3</v>
      </c>
      <c r="EP153" s="33">
        <v>0.12</v>
      </c>
      <c r="EQ153" s="33">
        <v>0</v>
      </c>
      <c r="ER153" s="33">
        <v>2.62</v>
      </c>
      <c r="ES153" s="33">
        <v>0</v>
      </c>
      <c r="ET153" s="33">
        <v>0</v>
      </c>
      <c r="EU153" s="33">
        <v>2.74</v>
      </c>
    </row>
    <row r="154" spans="1:151" ht="27.6" x14ac:dyDescent="0.3">
      <c r="A154" s="25" t="s">
        <v>229</v>
      </c>
      <c r="B154" s="26" t="s">
        <v>440</v>
      </c>
      <c r="C154" s="27" t="s">
        <v>733</v>
      </c>
      <c r="D154" s="27" t="s">
        <v>272</v>
      </c>
      <c r="E154" s="26" t="s">
        <v>504</v>
      </c>
      <c r="F154" s="26" t="s">
        <v>504</v>
      </c>
      <c r="G154" s="28">
        <v>58.87222222222222</v>
      </c>
      <c r="H154" s="28">
        <v>0</v>
      </c>
      <c r="I154" s="29">
        <v>0</v>
      </c>
      <c r="J154" s="29">
        <v>0</v>
      </c>
      <c r="K154" s="29">
        <v>41</v>
      </c>
      <c r="L154" s="29">
        <v>181</v>
      </c>
      <c r="M154" s="29">
        <v>222</v>
      </c>
      <c r="N154" s="29">
        <v>222</v>
      </c>
      <c r="O154" s="29">
        <v>41</v>
      </c>
      <c r="P154" s="29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41.672222222222224</v>
      </c>
      <c r="Z154" s="27">
        <v>51.56111111111111</v>
      </c>
      <c r="AA154" s="27">
        <v>42.333333333333336</v>
      </c>
      <c r="AB154" s="27">
        <v>38.383333333333333</v>
      </c>
      <c r="AC154" s="27">
        <v>42.18888888888889</v>
      </c>
      <c r="AD154" s="27">
        <v>0</v>
      </c>
      <c r="AE154" s="27">
        <v>41.672222222222224</v>
      </c>
      <c r="AF154" s="27">
        <v>174.46666666666667</v>
      </c>
      <c r="AG154" s="27">
        <v>41.672222222222224</v>
      </c>
      <c r="AH154" s="27">
        <v>216.13888888888889</v>
      </c>
      <c r="AI154" s="27">
        <v>216.13888888888889</v>
      </c>
      <c r="AJ154" s="28">
        <v>44.794444444444444</v>
      </c>
      <c r="AK154" s="28">
        <v>0</v>
      </c>
      <c r="AL154" s="28">
        <v>44.794444444444444</v>
      </c>
      <c r="AM154" s="29">
        <v>0</v>
      </c>
      <c r="AN154" s="35">
        <v>0</v>
      </c>
      <c r="AO154" s="27">
        <v>0</v>
      </c>
      <c r="AP154" s="27">
        <v>0</v>
      </c>
      <c r="AQ154" s="27">
        <v>0</v>
      </c>
      <c r="AR154" s="27">
        <v>0</v>
      </c>
      <c r="AS154" s="27">
        <v>0</v>
      </c>
      <c r="AT154" s="27">
        <v>0</v>
      </c>
      <c r="AU154" s="27">
        <v>36</v>
      </c>
      <c r="AV154" s="27">
        <v>44</v>
      </c>
      <c r="AW154" s="27">
        <v>46</v>
      </c>
      <c r="AX154" s="27">
        <v>39</v>
      </c>
      <c r="AY154" s="27">
        <v>40</v>
      </c>
      <c r="AZ154" s="27">
        <v>0</v>
      </c>
      <c r="BA154" s="27">
        <v>36</v>
      </c>
      <c r="BB154" s="27">
        <v>169</v>
      </c>
      <c r="BC154" s="27">
        <v>36</v>
      </c>
      <c r="BD154" s="27">
        <v>205</v>
      </c>
      <c r="BE154" s="27">
        <v>205</v>
      </c>
      <c r="BF154" s="27">
        <v>0</v>
      </c>
      <c r="BG154" s="27">
        <v>0</v>
      </c>
      <c r="BH154" s="27">
        <v>3</v>
      </c>
      <c r="BI154" s="27">
        <v>23</v>
      </c>
      <c r="BJ154" s="27">
        <v>38</v>
      </c>
      <c r="BK154" s="29">
        <v>2</v>
      </c>
      <c r="BL154" s="29">
        <v>40</v>
      </c>
      <c r="BM154" s="29">
        <v>1</v>
      </c>
      <c r="BN154" s="30">
        <v>5.8428655365536541E-2</v>
      </c>
      <c r="BO154" s="31">
        <v>17.09</v>
      </c>
      <c r="BP154" s="31">
        <v>16.509999999999998</v>
      </c>
      <c r="BQ154" s="31">
        <v>16.509999999999998</v>
      </c>
      <c r="BR154" s="31">
        <v>18.090000000000003</v>
      </c>
      <c r="BS154" s="32">
        <v>0</v>
      </c>
      <c r="BT154" s="32">
        <v>0</v>
      </c>
      <c r="BU154" s="33">
        <v>0</v>
      </c>
      <c r="BV154" s="33">
        <v>0</v>
      </c>
      <c r="BW154" s="33">
        <v>0</v>
      </c>
      <c r="BX154" s="33">
        <v>0</v>
      </c>
      <c r="BY154" s="33">
        <v>0</v>
      </c>
      <c r="BZ154" s="33">
        <v>0</v>
      </c>
      <c r="CA154" s="33">
        <v>0</v>
      </c>
      <c r="CB154" s="33">
        <v>0</v>
      </c>
      <c r="CC154" s="33">
        <v>0</v>
      </c>
      <c r="CD154" s="33">
        <v>0</v>
      </c>
      <c r="CE154" s="33">
        <v>0</v>
      </c>
      <c r="CF154" s="33">
        <v>36.916666666666664</v>
      </c>
      <c r="CG154" s="33">
        <v>43.405555555555559</v>
      </c>
      <c r="CH154" s="33">
        <v>45.472222222222221</v>
      </c>
      <c r="CI154" s="33">
        <v>37.672222222222224</v>
      </c>
      <c r="CJ154" s="33">
        <v>38.633333333333333</v>
      </c>
      <c r="CK154" s="33">
        <v>0</v>
      </c>
      <c r="CL154" s="33">
        <v>36.916666666666664</v>
      </c>
      <c r="CM154" s="33">
        <v>165.18333333333334</v>
      </c>
      <c r="CN154" s="33">
        <v>36.916666666666664</v>
      </c>
      <c r="CO154" s="33">
        <v>202.1</v>
      </c>
      <c r="CP154" s="33">
        <v>202.1</v>
      </c>
      <c r="CQ154" s="33">
        <v>34.216666666666697</v>
      </c>
      <c r="CR154" s="33">
        <v>1.76111111111111</v>
      </c>
      <c r="CS154" s="33">
        <v>35.97777777777781</v>
      </c>
      <c r="CT154" s="33">
        <v>0</v>
      </c>
      <c r="CU154" s="33">
        <v>0</v>
      </c>
      <c r="CV154" s="32">
        <v>0</v>
      </c>
      <c r="CW154" s="32">
        <v>0</v>
      </c>
      <c r="CX154" s="32">
        <v>0</v>
      </c>
      <c r="CY154" s="32">
        <v>0</v>
      </c>
      <c r="CZ154" s="32">
        <v>0</v>
      </c>
      <c r="DA154" s="32">
        <v>0</v>
      </c>
      <c r="DB154" s="32">
        <v>0</v>
      </c>
      <c r="DC154" s="32">
        <v>0</v>
      </c>
      <c r="DD154" s="32">
        <v>24</v>
      </c>
      <c r="DE154" s="32">
        <v>35</v>
      </c>
      <c r="DF154" s="32">
        <v>40</v>
      </c>
      <c r="DG154" s="32">
        <v>41</v>
      </c>
      <c r="DH154" s="32">
        <v>42</v>
      </c>
      <c r="DI154" s="32">
        <v>42</v>
      </c>
      <c r="DJ154" s="32">
        <v>0</v>
      </c>
      <c r="DK154" s="32">
        <v>59</v>
      </c>
      <c r="DL154" s="32">
        <v>165</v>
      </c>
      <c r="DM154" s="32">
        <v>59</v>
      </c>
      <c r="DN154" s="32">
        <v>224</v>
      </c>
      <c r="DO154" s="32">
        <v>224</v>
      </c>
      <c r="DP154" s="32">
        <v>6</v>
      </c>
      <c r="DQ154" s="32">
        <v>48</v>
      </c>
      <c r="DR154" s="32">
        <v>32</v>
      </c>
      <c r="DS154" s="32">
        <v>1</v>
      </c>
      <c r="DT154" s="32">
        <v>33</v>
      </c>
      <c r="DU154" s="32">
        <v>1</v>
      </c>
      <c r="DV154" s="33">
        <v>18.34</v>
      </c>
      <c r="DW154" s="33">
        <v>16.560000000000002</v>
      </c>
      <c r="DX154" s="33">
        <v>0</v>
      </c>
      <c r="DY154" s="33">
        <v>15.093000000000002</v>
      </c>
      <c r="DZ154" s="33">
        <v>0</v>
      </c>
      <c r="EA154" s="33">
        <v>20.329999999999998</v>
      </c>
      <c r="EB154" s="34">
        <v>6.3611323867318659E-2</v>
      </c>
      <c r="EC154" s="32"/>
      <c r="ED154" s="32">
        <v>0</v>
      </c>
      <c r="EE154" s="32">
        <v>223</v>
      </c>
      <c r="EF154" s="32">
        <v>0</v>
      </c>
      <c r="EG154" s="32">
        <v>59</v>
      </c>
      <c r="EH154" s="32">
        <v>164</v>
      </c>
      <c r="EI154" s="32">
        <v>223</v>
      </c>
      <c r="EJ154" s="32">
        <v>0</v>
      </c>
      <c r="EK154" s="32">
        <v>34</v>
      </c>
      <c r="EL154" s="32">
        <v>34</v>
      </c>
      <c r="EM154" s="32">
        <v>33</v>
      </c>
      <c r="EN154" s="32">
        <v>1</v>
      </c>
      <c r="EO154" s="32">
        <v>4</v>
      </c>
      <c r="EP154" s="33">
        <v>4</v>
      </c>
      <c r="EQ154" s="33">
        <v>0</v>
      </c>
      <c r="ER154" s="33">
        <v>1</v>
      </c>
      <c r="ES154" s="33">
        <v>1</v>
      </c>
      <c r="ET154" s="33">
        <v>2</v>
      </c>
      <c r="EU154" s="33">
        <v>8</v>
      </c>
    </row>
    <row r="155" spans="1:151" x14ac:dyDescent="0.3">
      <c r="A155" s="25" t="s">
        <v>491</v>
      </c>
      <c r="B155" s="25" t="s">
        <v>494</v>
      </c>
      <c r="C155" s="24" t="s">
        <v>492</v>
      </c>
      <c r="D155" s="24" t="s">
        <v>272</v>
      </c>
      <c r="E155" s="26" t="s">
        <v>504</v>
      </c>
      <c r="F155" s="26" t="s">
        <v>504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  <c r="AK155" s="28">
        <v>0</v>
      </c>
      <c r="AL155" s="28">
        <v>0</v>
      </c>
      <c r="AM155" s="28">
        <v>0</v>
      </c>
      <c r="AN155" s="28">
        <v>0</v>
      </c>
      <c r="AO155" s="28">
        <v>0</v>
      </c>
      <c r="AP155" s="28">
        <v>0</v>
      </c>
      <c r="AQ155" s="28">
        <v>0</v>
      </c>
      <c r="AR155" s="28">
        <v>0</v>
      </c>
      <c r="AS155" s="28">
        <v>0</v>
      </c>
      <c r="AT155" s="28">
        <v>0</v>
      </c>
      <c r="AU155" s="28">
        <v>0</v>
      </c>
      <c r="AV155" s="28">
        <v>0</v>
      </c>
      <c r="AW155" s="28">
        <v>0</v>
      </c>
      <c r="AX155" s="28">
        <v>0</v>
      </c>
      <c r="AY155" s="28">
        <v>0</v>
      </c>
      <c r="AZ155" s="28">
        <v>0</v>
      </c>
      <c r="BA155" s="28">
        <v>0</v>
      </c>
      <c r="BB155" s="28">
        <v>0</v>
      </c>
      <c r="BC155" s="28">
        <v>0</v>
      </c>
      <c r="BD155" s="28">
        <v>0</v>
      </c>
      <c r="BE155" s="28">
        <v>0</v>
      </c>
      <c r="BF155" s="28">
        <v>0</v>
      </c>
      <c r="BG155" s="28">
        <v>0</v>
      </c>
      <c r="BH155" s="28">
        <v>0</v>
      </c>
      <c r="BI155" s="28">
        <v>0</v>
      </c>
      <c r="BJ155" s="28">
        <v>0</v>
      </c>
      <c r="BK155" s="28">
        <v>0</v>
      </c>
      <c r="BL155" s="28">
        <v>0</v>
      </c>
      <c r="BM155" s="28">
        <v>0</v>
      </c>
      <c r="BN155" s="28">
        <v>0</v>
      </c>
      <c r="BO155" s="28">
        <v>0</v>
      </c>
      <c r="BP155" s="28">
        <v>0</v>
      </c>
      <c r="BQ155" s="28">
        <v>0</v>
      </c>
      <c r="BR155" s="28">
        <v>0</v>
      </c>
      <c r="BS155" s="28">
        <v>0</v>
      </c>
      <c r="BT155" s="28">
        <v>0</v>
      </c>
      <c r="BU155" s="28">
        <v>0</v>
      </c>
      <c r="BV155" s="28">
        <v>0</v>
      </c>
      <c r="BW155" s="28">
        <v>0</v>
      </c>
      <c r="BX155" s="28">
        <v>0</v>
      </c>
      <c r="BY155" s="28">
        <v>0</v>
      </c>
      <c r="BZ155" s="28">
        <v>0</v>
      </c>
      <c r="CA155" s="28">
        <v>0</v>
      </c>
      <c r="CB155" s="28">
        <v>0</v>
      </c>
      <c r="CC155" s="28">
        <v>0</v>
      </c>
      <c r="CD155" s="28">
        <v>0</v>
      </c>
      <c r="CE155" s="28">
        <v>0</v>
      </c>
      <c r="CF155" s="28">
        <v>0</v>
      </c>
      <c r="CG155" s="28">
        <v>0</v>
      </c>
      <c r="CH155" s="28">
        <v>0</v>
      </c>
      <c r="CI155" s="28">
        <v>0</v>
      </c>
      <c r="CJ155" s="28">
        <v>0</v>
      </c>
      <c r="CK155" s="28">
        <v>0</v>
      </c>
      <c r="CL155" s="28">
        <v>0</v>
      </c>
      <c r="CM155" s="28">
        <v>0</v>
      </c>
      <c r="CN155" s="28">
        <v>0</v>
      </c>
      <c r="CO155" s="28">
        <v>0</v>
      </c>
      <c r="CP155" s="28">
        <v>0</v>
      </c>
      <c r="CQ155" s="28">
        <v>0</v>
      </c>
      <c r="CR155" s="28">
        <v>0</v>
      </c>
      <c r="CS155" s="28">
        <v>0</v>
      </c>
      <c r="CT155" s="28">
        <v>0</v>
      </c>
      <c r="CU155" s="28">
        <v>0</v>
      </c>
      <c r="CV155" s="28">
        <v>0</v>
      </c>
      <c r="CW155" s="28">
        <v>0</v>
      </c>
      <c r="CX155" s="28">
        <v>0</v>
      </c>
      <c r="CY155" s="28">
        <v>0</v>
      </c>
      <c r="CZ155" s="28">
        <v>0</v>
      </c>
      <c r="DA155" s="28">
        <v>0</v>
      </c>
      <c r="DB155" s="28">
        <v>0</v>
      </c>
      <c r="DC155" s="28">
        <v>0</v>
      </c>
      <c r="DD155" s="28">
        <v>0</v>
      </c>
      <c r="DE155" s="28">
        <v>0</v>
      </c>
      <c r="DF155" s="28">
        <v>0</v>
      </c>
      <c r="DG155" s="28">
        <v>0</v>
      </c>
      <c r="DH155" s="28">
        <v>0</v>
      </c>
      <c r="DI155" s="28">
        <v>0</v>
      </c>
      <c r="DJ155" s="28">
        <v>0</v>
      </c>
      <c r="DK155" s="28">
        <v>0</v>
      </c>
      <c r="DL155" s="28">
        <v>0</v>
      </c>
      <c r="DM155" s="28">
        <v>0</v>
      </c>
      <c r="DN155" s="28">
        <v>0</v>
      </c>
      <c r="DO155" s="28">
        <v>0</v>
      </c>
      <c r="DP155" s="28">
        <v>0</v>
      </c>
      <c r="DQ155" s="28">
        <v>0</v>
      </c>
      <c r="DR155" s="28">
        <v>0</v>
      </c>
      <c r="DS155" s="28">
        <v>0</v>
      </c>
      <c r="DT155" s="28">
        <v>0</v>
      </c>
      <c r="DU155" s="28">
        <v>0</v>
      </c>
      <c r="DV155" s="28">
        <v>0</v>
      </c>
      <c r="DW155" s="28">
        <v>0</v>
      </c>
      <c r="DX155" s="28">
        <v>0</v>
      </c>
      <c r="DY155" s="28">
        <v>0</v>
      </c>
      <c r="DZ155" s="28">
        <v>0</v>
      </c>
      <c r="EA155" s="28">
        <v>0</v>
      </c>
      <c r="EB155" s="28">
        <v>0</v>
      </c>
      <c r="EC155" s="28">
        <v>0</v>
      </c>
      <c r="ED155" s="28">
        <v>0</v>
      </c>
      <c r="EE155" s="28">
        <v>0</v>
      </c>
      <c r="EF155" s="28">
        <v>0</v>
      </c>
      <c r="EG155" s="28">
        <v>0</v>
      </c>
      <c r="EH155" s="28">
        <v>0</v>
      </c>
      <c r="EI155" s="28">
        <v>0</v>
      </c>
      <c r="EJ155" s="28">
        <v>0</v>
      </c>
      <c r="EK155" s="28">
        <v>0</v>
      </c>
      <c r="EL155" s="28">
        <v>0</v>
      </c>
      <c r="EM155" s="28">
        <v>0</v>
      </c>
      <c r="EN155" s="28">
        <v>0</v>
      </c>
      <c r="EO155" s="28">
        <v>0</v>
      </c>
      <c r="EP155" s="28">
        <v>0</v>
      </c>
      <c r="EQ155" s="28">
        <v>0</v>
      </c>
      <c r="ER155" s="28">
        <v>0</v>
      </c>
      <c r="ES155" s="28">
        <v>0</v>
      </c>
      <c r="ET155" s="28">
        <v>0</v>
      </c>
      <c r="EU155" s="28">
        <v>0</v>
      </c>
    </row>
    <row r="156" spans="1:151" ht="82.8" x14ac:dyDescent="0.3">
      <c r="A156" s="25" t="s">
        <v>56</v>
      </c>
      <c r="B156" s="26" t="s">
        <v>298</v>
      </c>
      <c r="C156" s="27" t="s">
        <v>734</v>
      </c>
      <c r="D156" s="27" t="s">
        <v>272</v>
      </c>
      <c r="E156" s="26" t="s">
        <v>504</v>
      </c>
      <c r="F156" s="26" t="s">
        <v>504</v>
      </c>
      <c r="G156" s="28">
        <v>43.044444444444444</v>
      </c>
      <c r="H156" s="28">
        <v>0</v>
      </c>
      <c r="I156" s="29">
        <v>0</v>
      </c>
      <c r="J156" s="29">
        <v>0</v>
      </c>
      <c r="K156" s="29">
        <v>0</v>
      </c>
      <c r="L156" s="29">
        <v>1120</v>
      </c>
      <c r="M156" s="29">
        <v>1120</v>
      </c>
      <c r="N156" s="29">
        <v>1120</v>
      </c>
      <c r="O156" s="29">
        <v>0</v>
      </c>
      <c r="P156" s="29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27">
        <v>0</v>
      </c>
      <c r="AA156" s="27">
        <v>392.41666666666669</v>
      </c>
      <c r="AB156" s="27">
        <v>371.75</v>
      </c>
      <c r="AC156" s="27">
        <v>322.33333333333331</v>
      </c>
      <c r="AD156" s="27">
        <v>0</v>
      </c>
      <c r="AE156" s="27">
        <v>0</v>
      </c>
      <c r="AF156" s="27">
        <v>1086.5</v>
      </c>
      <c r="AG156" s="27">
        <v>0</v>
      </c>
      <c r="AH156" s="27">
        <v>1086.5</v>
      </c>
      <c r="AI156" s="27">
        <v>1086.5</v>
      </c>
      <c r="AJ156" s="28">
        <v>43.344444444444441</v>
      </c>
      <c r="AK156" s="28">
        <v>0</v>
      </c>
      <c r="AL156" s="28">
        <v>43.344444444444441</v>
      </c>
      <c r="AM156" s="29">
        <v>0</v>
      </c>
      <c r="AN156" s="35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  <c r="AT156" s="27">
        <v>0</v>
      </c>
      <c r="AU156" s="27">
        <v>0</v>
      </c>
      <c r="AV156" s="27">
        <v>0</v>
      </c>
      <c r="AW156" s="27">
        <v>455</v>
      </c>
      <c r="AX156" s="27">
        <v>366</v>
      </c>
      <c r="AY156" s="27">
        <v>345</v>
      </c>
      <c r="AZ156" s="27">
        <v>0</v>
      </c>
      <c r="BA156" s="27">
        <v>0</v>
      </c>
      <c r="BB156" s="27">
        <v>1166</v>
      </c>
      <c r="BC156" s="27">
        <v>0</v>
      </c>
      <c r="BD156" s="27">
        <v>1166</v>
      </c>
      <c r="BE156" s="27">
        <v>1166</v>
      </c>
      <c r="BF156" s="27">
        <v>0</v>
      </c>
      <c r="BG156" s="27">
        <v>0</v>
      </c>
      <c r="BH156" s="27">
        <v>0</v>
      </c>
      <c r="BI156" s="27">
        <v>154</v>
      </c>
      <c r="BJ156" s="27">
        <v>55</v>
      </c>
      <c r="BK156" s="29">
        <v>0</v>
      </c>
      <c r="BL156" s="29">
        <v>55</v>
      </c>
      <c r="BM156" s="29">
        <v>15</v>
      </c>
      <c r="BN156" s="30">
        <v>9.2112364257668111E-2</v>
      </c>
      <c r="BO156" s="31">
        <v>56.338999999999992</v>
      </c>
      <c r="BP156" s="31">
        <v>52.338999999999992</v>
      </c>
      <c r="BQ156" s="31">
        <v>51.338999999999992</v>
      </c>
      <c r="BR156" s="31">
        <v>64.326999999999998</v>
      </c>
      <c r="BS156" s="32">
        <v>0</v>
      </c>
      <c r="BT156" s="32">
        <v>0</v>
      </c>
      <c r="BU156" s="33">
        <v>0</v>
      </c>
      <c r="BV156" s="33">
        <v>0</v>
      </c>
      <c r="BW156" s="33">
        <v>0</v>
      </c>
      <c r="BX156" s="33">
        <v>0</v>
      </c>
      <c r="BY156" s="33">
        <v>0</v>
      </c>
      <c r="BZ156" s="33">
        <v>0</v>
      </c>
      <c r="CA156" s="33">
        <v>0</v>
      </c>
      <c r="CB156" s="33">
        <v>0</v>
      </c>
      <c r="CC156" s="33">
        <v>0</v>
      </c>
      <c r="CD156" s="33">
        <v>0</v>
      </c>
      <c r="CE156" s="33">
        <v>0</v>
      </c>
      <c r="CF156" s="33">
        <v>0</v>
      </c>
      <c r="CG156" s="33">
        <v>0</v>
      </c>
      <c r="CH156" s="33">
        <v>436.04444444444442</v>
      </c>
      <c r="CI156" s="33">
        <v>365.97222222222223</v>
      </c>
      <c r="CJ156" s="33">
        <v>342.73333333333335</v>
      </c>
      <c r="CK156" s="33">
        <v>0</v>
      </c>
      <c r="CL156" s="33">
        <v>0</v>
      </c>
      <c r="CM156" s="33">
        <v>1144.75</v>
      </c>
      <c r="CN156" s="33">
        <v>0</v>
      </c>
      <c r="CO156" s="33">
        <v>1144.75</v>
      </c>
      <c r="CP156" s="33">
        <v>1144.75</v>
      </c>
      <c r="CQ156" s="33">
        <v>49.711111111111101</v>
      </c>
      <c r="CR156" s="33">
        <v>0</v>
      </c>
      <c r="CS156" s="33">
        <v>49.711111111111101</v>
      </c>
      <c r="CT156" s="33">
        <v>0</v>
      </c>
      <c r="CU156" s="33">
        <v>0</v>
      </c>
      <c r="CV156" s="32">
        <v>0</v>
      </c>
      <c r="CW156" s="32">
        <v>0</v>
      </c>
      <c r="CX156" s="32">
        <v>0</v>
      </c>
      <c r="CY156" s="32">
        <v>0</v>
      </c>
      <c r="CZ156" s="32">
        <v>0</v>
      </c>
      <c r="DA156" s="32">
        <v>0</v>
      </c>
      <c r="DB156" s="32">
        <v>0</v>
      </c>
      <c r="DC156" s="32">
        <v>0</v>
      </c>
      <c r="DD156" s="32">
        <v>0</v>
      </c>
      <c r="DE156" s="32">
        <v>0</v>
      </c>
      <c r="DF156" s="32">
        <v>0</v>
      </c>
      <c r="DG156" s="32">
        <v>389</v>
      </c>
      <c r="DH156" s="32">
        <v>401</v>
      </c>
      <c r="DI156" s="32">
        <v>342</v>
      </c>
      <c r="DJ156" s="32">
        <v>0</v>
      </c>
      <c r="DK156" s="32">
        <v>0</v>
      </c>
      <c r="DL156" s="32">
        <v>1132</v>
      </c>
      <c r="DM156" s="32">
        <v>0</v>
      </c>
      <c r="DN156" s="32">
        <v>1132</v>
      </c>
      <c r="DO156" s="32">
        <v>1132</v>
      </c>
      <c r="DP156" s="32">
        <v>0</v>
      </c>
      <c r="DQ156" s="32">
        <v>61</v>
      </c>
      <c r="DR156" s="32">
        <v>39</v>
      </c>
      <c r="DS156" s="32">
        <v>0</v>
      </c>
      <c r="DT156" s="32">
        <v>39</v>
      </c>
      <c r="DU156" s="32">
        <v>15</v>
      </c>
      <c r="DV156" s="33">
        <v>64.047000000000011</v>
      </c>
      <c r="DW156" s="33">
        <v>60.047000000000004</v>
      </c>
      <c r="DX156" s="33">
        <v>0</v>
      </c>
      <c r="DY156" s="33">
        <v>52.152000000000008</v>
      </c>
      <c r="DZ156" s="33">
        <v>0</v>
      </c>
      <c r="EA156" s="33">
        <v>67.837000000000003</v>
      </c>
      <c r="EB156" s="34">
        <v>9.9146654952492475E-2</v>
      </c>
      <c r="EC156" s="32"/>
      <c r="ED156" s="32">
        <v>0</v>
      </c>
      <c r="EE156" s="32">
        <v>1145</v>
      </c>
      <c r="EF156" s="32">
        <v>0</v>
      </c>
      <c r="EG156" s="32">
        <v>0</v>
      </c>
      <c r="EH156" s="32">
        <v>1145</v>
      </c>
      <c r="EI156" s="32">
        <v>1145</v>
      </c>
      <c r="EJ156" s="32">
        <v>0</v>
      </c>
      <c r="EK156" s="32">
        <v>37</v>
      </c>
      <c r="EL156" s="32">
        <v>37</v>
      </c>
      <c r="EM156" s="32">
        <v>37</v>
      </c>
      <c r="EN156" s="32">
        <v>0</v>
      </c>
      <c r="EO156" s="32">
        <v>0</v>
      </c>
      <c r="EP156" s="33">
        <v>2</v>
      </c>
      <c r="EQ156" s="33">
        <v>0</v>
      </c>
      <c r="ER156" s="33">
        <v>0</v>
      </c>
      <c r="ES156" s="33">
        <v>0</v>
      </c>
      <c r="ET156" s="33">
        <v>0</v>
      </c>
      <c r="EU156" s="33">
        <v>2</v>
      </c>
    </row>
    <row r="157" spans="1:151" ht="27.6" x14ac:dyDescent="0.3">
      <c r="A157" s="25" t="s">
        <v>58</v>
      </c>
      <c r="B157" s="26" t="s">
        <v>299</v>
      </c>
      <c r="C157" s="27" t="s">
        <v>735</v>
      </c>
      <c r="D157" s="27" t="s">
        <v>272</v>
      </c>
      <c r="E157" s="26" t="s">
        <v>504</v>
      </c>
      <c r="F157" s="26" t="s">
        <v>504</v>
      </c>
      <c r="G157" s="28">
        <v>53.5</v>
      </c>
      <c r="H157" s="28">
        <v>4</v>
      </c>
      <c r="I157" s="29">
        <v>52</v>
      </c>
      <c r="J157" s="29">
        <v>316</v>
      </c>
      <c r="K157" s="29">
        <v>0</v>
      </c>
      <c r="L157" s="29">
        <v>0</v>
      </c>
      <c r="M157" s="29">
        <v>368</v>
      </c>
      <c r="N157" s="29">
        <v>316</v>
      </c>
      <c r="O157" s="29">
        <v>368</v>
      </c>
      <c r="P157" s="29">
        <v>3</v>
      </c>
      <c r="Q157" s="27">
        <v>51.93333333333333</v>
      </c>
      <c r="R157" s="27">
        <v>52.722222222222221</v>
      </c>
      <c r="S157" s="27">
        <v>51</v>
      </c>
      <c r="T157" s="27">
        <v>51.81666666666667</v>
      </c>
      <c r="U157" s="27">
        <v>51.75</v>
      </c>
      <c r="V157" s="27">
        <v>51.177777777777777</v>
      </c>
      <c r="W157" s="27">
        <v>51.494444444444447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27">
        <v>309.96111111111117</v>
      </c>
      <c r="AE157" s="27">
        <v>0</v>
      </c>
      <c r="AF157" s="27">
        <v>0</v>
      </c>
      <c r="AG157" s="27">
        <v>361.89444444444445</v>
      </c>
      <c r="AH157" s="27">
        <v>309.96111111111117</v>
      </c>
      <c r="AI157" s="27">
        <v>361.89444444444445</v>
      </c>
      <c r="AJ157" s="28">
        <v>58.044444444444444</v>
      </c>
      <c r="AK157" s="28">
        <v>3.0722222222222224</v>
      </c>
      <c r="AL157" s="28">
        <v>61.116666666666667</v>
      </c>
      <c r="AM157" s="29">
        <v>52</v>
      </c>
      <c r="AN157" s="35">
        <v>53</v>
      </c>
      <c r="AO157" s="27">
        <v>52</v>
      </c>
      <c r="AP157" s="27">
        <v>52</v>
      </c>
      <c r="AQ157" s="27">
        <v>53</v>
      </c>
      <c r="AR157" s="27">
        <v>52</v>
      </c>
      <c r="AS157" s="27">
        <v>53</v>
      </c>
      <c r="AT157" s="27">
        <v>0</v>
      </c>
      <c r="AU157" s="27">
        <v>0</v>
      </c>
      <c r="AV157" s="27">
        <v>0</v>
      </c>
      <c r="AW157" s="27">
        <v>0</v>
      </c>
      <c r="AX157" s="27">
        <v>0</v>
      </c>
      <c r="AY157" s="27">
        <v>0</v>
      </c>
      <c r="AZ157" s="27">
        <v>315</v>
      </c>
      <c r="BA157" s="27">
        <v>0</v>
      </c>
      <c r="BB157" s="27">
        <v>0</v>
      </c>
      <c r="BC157" s="27">
        <v>367</v>
      </c>
      <c r="BD157" s="27">
        <v>315</v>
      </c>
      <c r="BE157" s="27">
        <v>367</v>
      </c>
      <c r="BF157" s="27">
        <v>0</v>
      </c>
      <c r="BG157" s="27">
        <v>52</v>
      </c>
      <c r="BH157" s="27">
        <v>0</v>
      </c>
      <c r="BI157" s="27">
        <v>62</v>
      </c>
      <c r="BJ157" s="27">
        <v>58</v>
      </c>
      <c r="BK157" s="29">
        <v>2</v>
      </c>
      <c r="BL157" s="29">
        <v>60</v>
      </c>
      <c r="BM157" s="29">
        <v>0</v>
      </c>
      <c r="BN157" s="30">
        <v>9.4736842105263119E-2</v>
      </c>
      <c r="BO157" s="31">
        <v>18</v>
      </c>
      <c r="BP157" s="31">
        <v>18</v>
      </c>
      <c r="BQ157" s="31">
        <v>18</v>
      </c>
      <c r="BR157" s="31">
        <v>18</v>
      </c>
      <c r="BS157" s="32">
        <v>0</v>
      </c>
      <c r="BT157" s="32">
        <v>0</v>
      </c>
      <c r="BU157" s="33">
        <v>0</v>
      </c>
      <c r="BV157" s="33">
        <v>50.772221999999999</v>
      </c>
      <c r="BW157" s="33">
        <v>0</v>
      </c>
      <c r="BX157" s="33">
        <v>50.772222222222226</v>
      </c>
      <c r="BY157" s="33">
        <v>50.738888888888887</v>
      </c>
      <c r="BZ157" s="33">
        <v>50</v>
      </c>
      <c r="CA157" s="33">
        <v>52.111111111111114</v>
      </c>
      <c r="CB157" s="33">
        <v>51.56666666666667</v>
      </c>
      <c r="CC157" s="33">
        <v>51.944444444444443</v>
      </c>
      <c r="CD157" s="33">
        <v>46.011111111111113</v>
      </c>
      <c r="CE157" s="33">
        <v>0</v>
      </c>
      <c r="CF157" s="33">
        <v>0</v>
      </c>
      <c r="CG157" s="33">
        <v>0</v>
      </c>
      <c r="CH157" s="33">
        <v>0</v>
      </c>
      <c r="CI157" s="33">
        <v>0</v>
      </c>
      <c r="CJ157" s="33">
        <v>0</v>
      </c>
      <c r="CK157" s="33">
        <v>302.37222222222221</v>
      </c>
      <c r="CL157" s="33">
        <v>0</v>
      </c>
      <c r="CM157" s="33">
        <v>0</v>
      </c>
      <c r="CN157" s="33">
        <v>353.14444444444445</v>
      </c>
      <c r="CO157" s="33">
        <v>302.37222222222221</v>
      </c>
      <c r="CP157" s="33">
        <v>353.14444444444445</v>
      </c>
      <c r="CQ157" s="33">
        <v>56.677777777777798</v>
      </c>
      <c r="CR157" s="33">
        <v>1.9111111111111101</v>
      </c>
      <c r="CS157" s="33">
        <v>58.58888888888891</v>
      </c>
      <c r="CT157" s="33">
        <v>0</v>
      </c>
      <c r="CU157" s="33">
        <v>0</v>
      </c>
      <c r="CV157" s="32">
        <v>52</v>
      </c>
      <c r="CW157" s="32">
        <v>52</v>
      </c>
      <c r="CX157" s="32">
        <v>52</v>
      </c>
      <c r="CY157" s="32">
        <v>51</v>
      </c>
      <c r="CZ157" s="32">
        <v>52</v>
      </c>
      <c r="DA157" s="32">
        <v>53</v>
      </c>
      <c r="DB157" s="32">
        <v>50</v>
      </c>
      <c r="DC157" s="32">
        <v>51</v>
      </c>
      <c r="DD157" s="32">
        <v>0</v>
      </c>
      <c r="DE157" s="32">
        <v>0</v>
      </c>
      <c r="DF157" s="32">
        <v>0</v>
      </c>
      <c r="DG157" s="32">
        <v>0</v>
      </c>
      <c r="DH157" s="32">
        <v>0</v>
      </c>
      <c r="DI157" s="32">
        <v>0</v>
      </c>
      <c r="DJ157" s="32">
        <v>309</v>
      </c>
      <c r="DK157" s="32">
        <v>0</v>
      </c>
      <c r="DL157" s="32">
        <v>0</v>
      </c>
      <c r="DM157" s="32">
        <v>361</v>
      </c>
      <c r="DN157" s="32">
        <v>309</v>
      </c>
      <c r="DO157" s="32">
        <v>361</v>
      </c>
      <c r="DP157" s="32">
        <v>0</v>
      </c>
      <c r="DQ157" s="32">
        <v>53</v>
      </c>
      <c r="DR157" s="32">
        <v>46</v>
      </c>
      <c r="DS157" s="32">
        <v>2</v>
      </c>
      <c r="DT157" s="32">
        <v>48</v>
      </c>
      <c r="DU157" s="32">
        <v>9</v>
      </c>
      <c r="DV157" s="33">
        <v>18</v>
      </c>
      <c r="DW157" s="33">
        <v>18</v>
      </c>
      <c r="DX157" s="33">
        <v>18</v>
      </c>
      <c r="DY157" s="33">
        <v>0</v>
      </c>
      <c r="DZ157" s="33">
        <v>0</v>
      </c>
      <c r="EA157" s="33">
        <v>18.914000000000001</v>
      </c>
      <c r="EB157" s="34">
        <v>7.2368421052631582E-2</v>
      </c>
      <c r="EC157" s="32"/>
      <c r="ED157" s="32">
        <v>51</v>
      </c>
      <c r="EE157" s="32">
        <v>309</v>
      </c>
      <c r="EF157" s="32">
        <v>309</v>
      </c>
      <c r="EG157" s="32">
        <v>0</v>
      </c>
      <c r="EH157" s="32">
        <v>0</v>
      </c>
      <c r="EI157" s="32">
        <v>360</v>
      </c>
      <c r="EJ157" s="32">
        <v>0</v>
      </c>
      <c r="EK157" s="32">
        <v>55</v>
      </c>
      <c r="EL157" s="32">
        <v>55</v>
      </c>
      <c r="EM157" s="32">
        <v>53</v>
      </c>
      <c r="EN157" s="32">
        <v>2</v>
      </c>
      <c r="EO157" s="32">
        <v>6</v>
      </c>
      <c r="EP157" s="33">
        <v>14.39</v>
      </c>
      <c r="EQ157" s="33">
        <v>0</v>
      </c>
      <c r="ER157" s="33">
        <v>0</v>
      </c>
      <c r="ES157" s="33">
        <v>7.8E-2</v>
      </c>
      <c r="ET157" s="33">
        <v>0.56999999999999995</v>
      </c>
      <c r="EU157" s="33">
        <v>15.038</v>
      </c>
    </row>
    <row r="158" spans="1:151" ht="55.2" x14ac:dyDescent="0.3">
      <c r="A158" s="25" t="s">
        <v>60</v>
      </c>
      <c r="B158" s="26" t="s">
        <v>301</v>
      </c>
      <c r="C158" s="27" t="s">
        <v>736</v>
      </c>
      <c r="D158" s="27" t="s">
        <v>272</v>
      </c>
      <c r="E158" s="26" t="s">
        <v>504</v>
      </c>
      <c r="F158" s="26" t="s">
        <v>504</v>
      </c>
      <c r="G158" s="28">
        <v>193.35</v>
      </c>
      <c r="H158" s="28">
        <v>6.4888888888888889</v>
      </c>
      <c r="I158" s="29">
        <v>88</v>
      </c>
      <c r="J158" s="29">
        <v>585</v>
      </c>
      <c r="K158" s="29">
        <v>188</v>
      </c>
      <c r="L158" s="29">
        <v>338</v>
      </c>
      <c r="M158" s="29">
        <v>1199</v>
      </c>
      <c r="N158" s="29">
        <v>1111</v>
      </c>
      <c r="O158" s="29">
        <v>861</v>
      </c>
      <c r="P158" s="29">
        <v>1</v>
      </c>
      <c r="Q158" s="27">
        <v>90.466666666666669</v>
      </c>
      <c r="R158" s="27">
        <v>90.277777777777771</v>
      </c>
      <c r="S158" s="27">
        <v>107.67222222222222</v>
      </c>
      <c r="T158" s="27">
        <v>102.15</v>
      </c>
      <c r="U158" s="27">
        <v>102.05</v>
      </c>
      <c r="V158" s="27">
        <v>90.855555555555554</v>
      </c>
      <c r="W158" s="27">
        <v>98.438888888888883</v>
      </c>
      <c r="X158" s="27">
        <v>94.35</v>
      </c>
      <c r="Y158" s="27">
        <v>90.25555555555556</v>
      </c>
      <c r="Z158" s="27">
        <v>101.55</v>
      </c>
      <c r="AA158" s="27">
        <v>82.3</v>
      </c>
      <c r="AB158" s="27">
        <v>77.11666666666666</v>
      </c>
      <c r="AC158" s="27">
        <v>73.55</v>
      </c>
      <c r="AD158" s="27">
        <v>591.44444444444446</v>
      </c>
      <c r="AE158" s="27">
        <v>184.60555555555555</v>
      </c>
      <c r="AF158" s="27">
        <v>334.51666666666665</v>
      </c>
      <c r="AG158" s="27">
        <v>866.51666666666665</v>
      </c>
      <c r="AH158" s="27">
        <v>1110.5666666666666</v>
      </c>
      <c r="AI158" s="27">
        <v>1201.0333333333331</v>
      </c>
      <c r="AJ158" s="28">
        <v>169.47222222222223</v>
      </c>
      <c r="AK158" s="28">
        <v>1</v>
      </c>
      <c r="AL158" s="28">
        <v>170.47222222222223</v>
      </c>
      <c r="AM158" s="29">
        <v>104</v>
      </c>
      <c r="AN158" s="35">
        <v>102</v>
      </c>
      <c r="AO158" s="27">
        <v>98</v>
      </c>
      <c r="AP158" s="27">
        <v>108</v>
      </c>
      <c r="AQ158" s="27">
        <v>101</v>
      </c>
      <c r="AR158" s="27">
        <v>112</v>
      </c>
      <c r="AS158" s="27">
        <v>96</v>
      </c>
      <c r="AT158" s="27">
        <v>125</v>
      </c>
      <c r="AU158" s="27">
        <v>95</v>
      </c>
      <c r="AV158" s="27">
        <v>98</v>
      </c>
      <c r="AW158" s="27">
        <v>91</v>
      </c>
      <c r="AX158" s="27">
        <v>68</v>
      </c>
      <c r="AY158" s="27">
        <v>73</v>
      </c>
      <c r="AZ158" s="27">
        <v>617</v>
      </c>
      <c r="BA158" s="27">
        <v>220</v>
      </c>
      <c r="BB158" s="27">
        <v>330</v>
      </c>
      <c r="BC158" s="27">
        <v>941</v>
      </c>
      <c r="BD158" s="27">
        <v>1167</v>
      </c>
      <c r="BE158" s="27">
        <v>1271</v>
      </c>
      <c r="BF158" s="27">
        <v>104</v>
      </c>
      <c r="BG158" s="27">
        <v>0</v>
      </c>
      <c r="BH158" s="27">
        <v>0</v>
      </c>
      <c r="BI158" s="27">
        <v>397</v>
      </c>
      <c r="BJ158" s="27">
        <v>193</v>
      </c>
      <c r="BK158" s="29">
        <v>1</v>
      </c>
      <c r="BL158" s="29">
        <v>194</v>
      </c>
      <c r="BM158" s="29">
        <v>39</v>
      </c>
      <c r="BN158" s="30">
        <v>6.6807638646668999E-2</v>
      </c>
      <c r="BO158" s="31">
        <v>79.504999999999995</v>
      </c>
      <c r="BP158" s="31">
        <v>76.504999999999995</v>
      </c>
      <c r="BQ158" s="31">
        <v>76.004999999999995</v>
      </c>
      <c r="BR158" s="31">
        <v>82.454999999999984</v>
      </c>
      <c r="BS158" s="32">
        <v>0</v>
      </c>
      <c r="BT158" s="32">
        <v>0</v>
      </c>
      <c r="BU158" s="33">
        <v>0</v>
      </c>
      <c r="BV158" s="33">
        <v>0</v>
      </c>
      <c r="BW158" s="33">
        <v>101.544444</v>
      </c>
      <c r="BX158" s="33">
        <v>101.54444444444445</v>
      </c>
      <c r="BY158" s="33">
        <v>100.16666666666667</v>
      </c>
      <c r="BZ158" s="33">
        <v>97.00555555555556</v>
      </c>
      <c r="CA158" s="33">
        <v>105.85</v>
      </c>
      <c r="CB158" s="33">
        <v>100.42222222222222</v>
      </c>
      <c r="CC158" s="33">
        <v>109.68333333333334</v>
      </c>
      <c r="CD158" s="33">
        <v>94.716666666666669</v>
      </c>
      <c r="CE158" s="33">
        <v>125.64444444444445</v>
      </c>
      <c r="CF158" s="33">
        <v>95.327777777777783</v>
      </c>
      <c r="CG158" s="33">
        <v>96.566666666666663</v>
      </c>
      <c r="CH158" s="33">
        <v>89.983333333333334</v>
      </c>
      <c r="CI158" s="33">
        <v>66.611111111111114</v>
      </c>
      <c r="CJ158" s="33">
        <v>71.772222222222226</v>
      </c>
      <c r="CK158" s="33">
        <v>607.84444444444443</v>
      </c>
      <c r="CL158" s="33">
        <v>220.97222222222223</v>
      </c>
      <c r="CM158" s="33">
        <v>324.93333333333334</v>
      </c>
      <c r="CN158" s="33">
        <v>930.36111111111109</v>
      </c>
      <c r="CO158" s="33">
        <v>1153.7499999999998</v>
      </c>
      <c r="CP158" s="33">
        <v>1255.2944444444443</v>
      </c>
      <c r="CQ158" s="33">
        <v>196.794444444444</v>
      </c>
      <c r="CR158" s="33">
        <v>1</v>
      </c>
      <c r="CS158" s="33">
        <v>197.794444444444</v>
      </c>
      <c r="CT158" s="33">
        <v>0</v>
      </c>
      <c r="CU158" s="33">
        <v>110</v>
      </c>
      <c r="CV158" s="32">
        <v>0</v>
      </c>
      <c r="CW158" s="32">
        <v>110</v>
      </c>
      <c r="CX158" s="32">
        <v>111</v>
      </c>
      <c r="CY158" s="32">
        <v>109</v>
      </c>
      <c r="CZ158" s="32">
        <v>96</v>
      </c>
      <c r="DA158" s="32">
        <v>109</v>
      </c>
      <c r="DB158" s="32">
        <v>95</v>
      </c>
      <c r="DC158" s="32">
        <v>105</v>
      </c>
      <c r="DD158" s="32">
        <v>117</v>
      </c>
      <c r="DE158" s="32">
        <v>99</v>
      </c>
      <c r="DF158" s="32">
        <v>97</v>
      </c>
      <c r="DG158" s="32">
        <v>87</v>
      </c>
      <c r="DH158" s="32">
        <v>83</v>
      </c>
      <c r="DI158" s="32">
        <v>60</v>
      </c>
      <c r="DJ158" s="32">
        <v>625</v>
      </c>
      <c r="DK158" s="32">
        <v>216</v>
      </c>
      <c r="DL158" s="32">
        <v>327</v>
      </c>
      <c r="DM158" s="32">
        <v>951</v>
      </c>
      <c r="DN158" s="32">
        <v>1168</v>
      </c>
      <c r="DO158" s="32">
        <v>1278</v>
      </c>
      <c r="DP158" s="32">
        <v>0</v>
      </c>
      <c r="DQ158" s="32">
        <v>331</v>
      </c>
      <c r="DR158" s="32">
        <v>196</v>
      </c>
      <c r="DS158" s="32">
        <v>1</v>
      </c>
      <c r="DT158" s="32">
        <v>197</v>
      </c>
      <c r="DU158" s="32">
        <v>34</v>
      </c>
      <c r="DV158" s="33">
        <v>83.974999999999994</v>
      </c>
      <c r="DW158" s="33">
        <v>79.974999999999994</v>
      </c>
      <c r="DX158" s="33">
        <v>33.93</v>
      </c>
      <c r="DY158" s="33">
        <v>36.075000000000003</v>
      </c>
      <c r="DZ158" s="33">
        <v>0</v>
      </c>
      <c r="EA158" s="33">
        <v>85.775000000000006</v>
      </c>
      <c r="EB158" s="34">
        <v>7.3690468740221393E-2</v>
      </c>
      <c r="EC158" s="32"/>
      <c r="ED158" s="32">
        <v>107</v>
      </c>
      <c r="EE158" s="32">
        <v>1162</v>
      </c>
      <c r="EF158" s="32">
        <v>610</v>
      </c>
      <c r="EG158" s="32">
        <v>210</v>
      </c>
      <c r="EH158" s="32">
        <v>342</v>
      </c>
      <c r="EI158" s="32">
        <v>1269</v>
      </c>
      <c r="EJ158" s="32">
        <v>0</v>
      </c>
      <c r="EK158" s="32">
        <v>185</v>
      </c>
      <c r="EL158" s="32">
        <v>185</v>
      </c>
      <c r="EM158" s="32">
        <v>184</v>
      </c>
      <c r="EN158" s="32">
        <v>1</v>
      </c>
      <c r="EO158" s="32">
        <v>2</v>
      </c>
      <c r="EP158" s="33">
        <v>25</v>
      </c>
      <c r="EQ158" s="33">
        <v>1.5</v>
      </c>
      <c r="ER158" s="33">
        <v>4</v>
      </c>
      <c r="ES158" s="33">
        <v>0.5</v>
      </c>
      <c r="ET158" s="33">
        <v>7</v>
      </c>
      <c r="EU158" s="33">
        <v>38</v>
      </c>
    </row>
    <row r="159" spans="1:151" ht="41.4" x14ac:dyDescent="0.3">
      <c r="A159" s="25" t="s">
        <v>62</v>
      </c>
      <c r="B159" s="26" t="s">
        <v>303</v>
      </c>
      <c r="C159" s="27" t="s">
        <v>737</v>
      </c>
      <c r="D159" s="27" t="s">
        <v>272</v>
      </c>
      <c r="E159" s="26" t="s">
        <v>504</v>
      </c>
      <c r="F159" s="26" t="s">
        <v>504</v>
      </c>
      <c r="G159" s="28">
        <v>276.52777777777777</v>
      </c>
      <c r="H159" s="28">
        <v>14.544444444444444</v>
      </c>
      <c r="I159" s="29">
        <v>255</v>
      </c>
      <c r="J159" s="29">
        <v>1386</v>
      </c>
      <c r="K159" s="29">
        <v>377</v>
      </c>
      <c r="L159" s="29">
        <v>0</v>
      </c>
      <c r="M159" s="29">
        <v>2018</v>
      </c>
      <c r="N159" s="29">
        <v>1763</v>
      </c>
      <c r="O159" s="29">
        <v>2018</v>
      </c>
      <c r="P159" s="29">
        <v>11</v>
      </c>
      <c r="Q159" s="27">
        <v>251.90555555555557</v>
      </c>
      <c r="R159" s="27">
        <v>222.55555555555554</v>
      </c>
      <c r="S159" s="27">
        <v>242.37777777777777</v>
      </c>
      <c r="T159" s="27">
        <v>216.7</v>
      </c>
      <c r="U159" s="27">
        <v>236.6888888888889</v>
      </c>
      <c r="V159" s="27">
        <v>240.53333333333333</v>
      </c>
      <c r="W159" s="27">
        <v>202.24444444444444</v>
      </c>
      <c r="X159" s="27">
        <v>196.07777777777778</v>
      </c>
      <c r="Y159" s="27">
        <v>181.73888888888888</v>
      </c>
      <c r="Z159" s="27">
        <v>0</v>
      </c>
      <c r="AA159" s="27">
        <v>0</v>
      </c>
      <c r="AB159" s="27">
        <v>0</v>
      </c>
      <c r="AC159" s="27">
        <v>0</v>
      </c>
      <c r="AD159" s="27">
        <v>1361.1</v>
      </c>
      <c r="AE159" s="27">
        <v>377.81666666666666</v>
      </c>
      <c r="AF159" s="27">
        <v>0</v>
      </c>
      <c r="AG159" s="27">
        <v>1990.8222222222221</v>
      </c>
      <c r="AH159" s="27">
        <v>1738.9166666666665</v>
      </c>
      <c r="AI159" s="27">
        <v>1990.8222222222221</v>
      </c>
      <c r="AJ159" s="28">
        <v>268.23333333333335</v>
      </c>
      <c r="AK159" s="28">
        <v>11.861111111111111</v>
      </c>
      <c r="AL159" s="28">
        <v>280.09444444444443</v>
      </c>
      <c r="AM159" s="29">
        <v>252</v>
      </c>
      <c r="AN159" s="35">
        <v>251</v>
      </c>
      <c r="AO159" s="27">
        <v>237</v>
      </c>
      <c r="AP159" s="27">
        <v>240</v>
      </c>
      <c r="AQ159" s="27">
        <v>211</v>
      </c>
      <c r="AR159" s="27">
        <v>234</v>
      </c>
      <c r="AS159" s="27">
        <v>212</v>
      </c>
      <c r="AT159" s="27">
        <v>184</v>
      </c>
      <c r="AU159" s="27">
        <v>195</v>
      </c>
      <c r="AV159" s="27">
        <v>147</v>
      </c>
      <c r="AW159" s="27">
        <v>144</v>
      </c>
      <c r="AX159" s="27">
        <v>126</v>
      </c>
      <c r="AY159" s="27">
        <v>131</v>
      </c>
      <c r="AZ159" s="27">
        <v>1385</v>
      </c>
      <c r="BA159" s="27">
        <v>379</v>
      </c>
      <c r="BB159" s="27">
        <v>548</v>
      </c>
      <c r="BC159" s="27">
        <v>2016</v>
      </c>
      <c r="BD159" s="27">
        <v>2312</v>
      </c>
      <c r="BE159" s="27">
        <v>2564</v>
      </c>
      <c r="BF159" s="27">
        <v>151</v>
      </c>
      <c r="BG159" s="27">
        <v>101</v>
      </c>
      <c r="BH159" s="27">
        <v>1</v>
      </c>
      <c r="BI159" s="27">
        <v>451</v>
      </c>
      <c r="BJ159" s="27">
        <v>353</v>
      </c>
      <c r="BK159" s="29">
        <v>11</v>
      </c>
      <c r="BL159" s="29">
        <v>364</v>
      </c>
      <c r="BM159" s="29">
        <v>141</v>
      </c>
      <c r="BN159" s="30">
        <v>6.9905857740585386E-2</v>
      </c>
      <c r="BO159" s="31">
        <v>173.32</v>
      </c>
      <c r="BP159" s="31">
        <v>165.92</v>
      </c>
      <c r="BQ159" s="31">
        <v>159.69499999999999</v>
      </c>
      <c r="BR159" s="31">
        <v>172.57</v>
      </c>
      <c r="BS159" s="32">
        <v>0</v>
      </c>
      <c r="BT159" s="32">
        <v>0</v>
      </c>
      <c r="BU159" s="33">
        <v>0</v>
      </c>
      <c r="BV159" s="33">
        <v>100.433333</v>
      </c>
      <c r="BW159" s="33">
        <v>151.18888799999999</v>
      </c>
      <c r="BX159" s="33">
        <v>251.62222222222223</v>
      </c>
      <c r="BY159" s="33">
        <v>246.86111111111111</v>
      </c>
      <c r="BZ159" s="33">
        <v>228.32777777777778</v>
      </c>
      <c r="CA159" s="33">
        <v>234.5</v>
      </c>
      <c r="CB159" s="33">
        <v>209.35</v>
      </c>
      <c r="CC159" s="33">
        <v>229.3</v>
      </c>
      <c r="CD159" s="33">
        <v>209.5888888888889</v>
      </c>
      <c r="CE159" s="33">
        <v>184.65555555555557</v>
      </c>
      <c r="CF159" s="33">
        <v>190.64444444444445</v>
      </c>
      <c r="CG159" s="33">
        <v>142.20555555555555</v>
      </c>
      <c r="CH159" s="33">
        <v>140.77777777777777</v>
      </c>
      <c r="CI159" s="33">
        <v>127.35</v>
      </c>
      <c r="CJ159" s="33">
        <v>122.35</v>
      </c>
      <c r="CK159" s="33">
        <v>1357.9277777777779</v>
      </c>
      <c r="CL159" s="33">
        <v>375.3</v>
      </c>
      <c r="CM159" s="33">
        <v>532.68333333333339</v>
      </c>
      <c r="CN159" s="33">
        <v>1984.85</v>
      </c>
      <c r="CO159" s="33">
        <v>2265.911111111111</v>
      </c>
      <c r="CP159" s="33">
        <v>2517.5333333333333</v>
      </c>
      <c r="CQ159" s="33">
        <v>348.31111111111102</v>
      </c>
      <c r="CR159" s="33">
        <v>10.255555555555601</v>
      </c>
      <c r="CS159" s="33">
        <v>358.56666666666661</v>
      </c>
      <c r="CT159" s="33">
        <v>0</v>
      </c>
      <c r="CU159" s="33">
        <v>149</v>
      </c>
      <c r="CV159" s="32">
        <v>87</v>
      </c>
      <c r="CW159" s="32">
        <v>236</v>
      </c>
      <c r="CX159" s="32">
        <v>263</v>
      </c>
      <c r="CY159" s="32">
        <v>259</v>
      </c>
      <c r="CZ159" s="32">
        <v>225</v>
      </c>
      <c r="DA159" s="32">
        <v>226</v>
      </c>
      <c r="DB159" s="32">
        <v>198</v>
      </c>
      <c r="DC159" s="32">
        <v>199</v>
      </c>
      <c r="DD159" s="32">
        <v>175</v>
      </c>
      <c r="DE159" s="32">
        <v>188</v>
      </c>
      <c r="DF159" s="32">
        <v>187</v>
      </c>
      <c r="DG159" s="32">
        <v>139</v>
      </c>
      <c r="DH159" s="32">
        <v>145</v>
      </c>
      <c r="DI159" s="32">
        <v>128</v>
      </c>
      <c r="DJ159" s="32">
        <v>1370</v>
      </c>
      <c r="DK159" s="32">
        <v>363</v>
      </c>
      <c r="DL159" s="32">
        <v>599</v>
      </c>
      <c r="DM159" s="32">
        <v>1969</v>
      </c>
      <c r="DN159" s="32">
        <v>2332</v>
      </c>
      <c r="DO159" s="32">
        <v>2568</v>
      </c>
      <c r="DP159" s="32">
        <v>1</v>
      </c>
      <c r="DQ159" s="32">
        <v>534</v>
      </c>
      <c r="DR159" s="32">
        <v>337</v>
      </c>
      <c r="DS159" s="32">
        <v>19</v>
      </c>
      <c r="DT159" s="32">
        <v>356</v>
      </c>
      <c r="DU159" s="32">
        <v>173</v>
      </c>
      <c r="DV159" s="33">
        <v>175.70899999999997</v>
      </c>
      <c r="DW159" s="33">
        <v>167.70899999999997</v>
      </c>
      <c r="DX159" s="33">
        <v>80.625</v>
      </c>
      <c r="DY159" s="33">
        <v>60.980000000000004</v>
      </c>
      <c r="DZ159" s="33">
        <v>0</v>
      </c>
      <c r="EA159" s="33">
        <v>177.50900000000001</v>
      </c>
      <c r="EB159" s="34">
        <v>6.8431796349663343E-2</v>
      </c>
      <c r="EC159" s="32"/>
      <c r="ED159" s="32">
        <v>198</v>
      </c>
      <c r="EE159" s="32">
        <v>2351</v>
      </c>
      <c r="EF159" s="32">
        <v>1423</v>
      </c>
      <c r="EG159" s="32">
        <v>339</v>
      </c>
      <c r="EH159" s="32">
        <v>589</v>
      </c>
      <c r="EI159" s="32">
        <v>2549</v>
      </c>
      <c r="EJ159" s="32">
        <v>0</v>
      </c>
      <c r="EK159" s="32">
        <v>363</v>
      </c>
      <c r="EL159" s="32">
        <v>363</v>
      </c>
      <c r="EM159" s="32">
        <v>346</v>
      </c>
      <c r="EN159" s="32">
        <v>17</v>
      </c>
      <c r="EO159" s="32">
        <v>2</v>
      </c>
      <c r="EP159" s="33">
        <v>46.85</v>
      </c>
      <c r="EQ159" s="33">
        <v>1.6</v>
      </c>
      <c r="ER159" s="33">
        <v>12.2</v>
      </c>
      <c r="ES159" s="33">
        <v>11</v>
      </c>
      <c r="ET159" s="33">
        <v>32.619999999999997</v>
      </c>
      <c r="EU159" s="33">
        <v>104.27000000000001</v>
      </c>
    </row>
    <row r="160" spans="1:151" x14ac:dyDescent="0.3">
      <c r="A160" s="25" t="s">
        <v>64</v>
      </c>
      <c r="B160" s="25" t="s">
        <v>304</v>
      </c>
      <c r="C160" s="24" t="s">
        <v>738</v>
      </c>
      <c r="D160" s="24" t="s">
        <v>272</v>
      </c>
      <c r="E160" s="26" t="s">
        <v>504</v>
      </c>
      <c r="F160" s="26" t="s">
        <v>504</v>
      </c>
      <c r="G160" s="28">
        <v>4</v>
      </c>
      <c r="H160" s="28">
        <v>0</v>
      </c>
      <c r="I160" s="29">
        <v>0</v>
      </c>
      <c r="J160" s="29">
        <v>0</v>
      </c>
      <c r="K160" s="29">
        <v>0</v>
      </c>
      <c r="L160" s="29">
        <v>329</v>
      </c>
      <c r="M160" s="29">
        <v>329</v>
      </c>
      <c r="N160" s="29">
        <v>329</v>
      </c>
      <c r="O160" s="29">
        <v>0</v>
      </c>
      <c r="P160" s="29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  <c r="AA160" s="24">
        <v>106.63888888888889</v>
      </c>
      <c r="AB160" s="24">
        <v>121.47222222222223</v>
      </c>
      <c r="AC160" s="24">
        <v>93.427777777777777</v>
      </c>
      <c r="AD160" s="24">
        <v>0</v>
      </c>
      <c r="AE160" s="24">
        <v>0</v>
      </c>
      <c r="AF160" s="24">
        <v>321.53888888888889</v>
      </c>
      <c r="AG160" s="24">
        <v>0</v>
      </c>
      <c r="AH160" s="24">
        <v>321.53888888888889</v>
      </c>
      <c r="AI160" s="24">
        <v>321.53888888888889</v>
      </c>
      <c r="AJ160" s="28">
        <v>4.6500000000000004</v>
      </c>
      <c r="AK160" s="28">
        <v>0</v>
      </c>
      <c r="AL160" s="28">
        <v>4.6500000000000004</v>
      </c>
      <c r="AM160" s="29">
        <v>0</v>
      </c>
      <c r="AN160" s="37">
        <v>0</v>
      </c>
      <c r="AO160" s="24">
        <v>0</v>
      </c>
      <c r="AP160" s="24">
        <v>0</v>
      </c>
      <c r="AQ160" s="24">
        <v>0</v>
      </c>
      <c r="AR160" s="24">
        <v>0</v>
      </c>
      <c r="AS160" s="24">
        <v>0</v>
      </c>
      <c r="AT160" s="24">
        <v>0</v>
      </c>
      <c r="AU160" s="24">
        <v>0</v>
      </c>
      <c r="AV160" s="24">
        <v>89</v>
      </c>
      <c r="AW160" s="24">
        <v>87</v>
      </c>
      <c r="AX160" s="24">
        <v>101</v>
      </c>
      <c r="AY160" s="24">
        <v>108</v>
      </c>
      <c r="AZ160" s="24">
        <v>0</v>
      </c>
      <c r="BA160" s="24">
        <v>0</v>
      </c>
      <c r="BB160" s="24">
        <v>385</v>
      </c>
      <c r="BC160" s="24">
        <v>0</v>
      </c>
      <c r="BD160" s="24">
        <v>385</v>
      </c>
      <c r="BE160" s="24">
        <v>385</v>
      </c>
      <c r="BF160" s="24">
        <v>0</v>
      </c>
      <c r="BG160" s="24">
        <v>0</v>
      </c>
      <c r="BH160" s="24">
        <v>0</v>
      </c>
      <c r="BI160" s="27">
        <v>114</v>
      </c>
      <c r="BJ160" s="24">
        <v>9</v>
      </c>
      <c r="BK160" s="29">
        <v>0</v>
      </c>
      <c r="BL160" s="29">
        <v>9</v>
      </c>
      <c r="BM160" s="29">
        <v>65</v>
      </c>
      <c r="BN160" s="30">
        <v>0.10929357592093458</v>
      </c>
      <c r="BO160" s="31">
        <v>24.575000000000003</v>
      </c>
      <c r="BP160" s="31">
        <v>21.924999999999997</v>
      </c>
      <c r="BQ160" s="31">
        <v>21.924999999999997</v>
      </c>
      <c r="BR160" s="31">
        <v>24.575000000000003</v>
      </c>
      <c r="BS160" s="32">
        <v>0</v>
      </c>
      <c r="BT160" s="32">
        <v>0</v>
      </c>
      <c r="BU160" s="33">
        <v>0</v>
      </c>
      <c r="BV160" s="33">
        <v>0</v>
      </c>
      <c r="BW160" s="33">
        <v>0</v>
      </c>
      <c r="BX160" s="33">
        <v>0</v>
      </c>
      <c r="BY160" s="33">
        <v>0</v>
      </c>
      <c r="BZ160" s="33">
        <v>0</v>
      </c>
      <c r="CA160" s="33">
        <v>0</v>
      </c>
      <c r="CB160" s="33">
        <v>0</v>
      </c>
      <c r="CC160" s="33">
        <v>0</v>
      </c>
      <c r="CD160" s="33">
        <v>0</v>
      </c>
      <c r="CE160" s="33">
        <v>0</v>
      </c>
      <c r="CF160" s="33">
        <v>0</v>
      </c>
      <c r="CG160" s="33">
        <v>88.15</v>
      </c>
      <c r="CH160" s="33">
        <v>83.955555555555549</v>
      </c>
      <c r="CI160" s="33">
        <v>98.827777777777783</v>
      </c>
      <c r="CJ160" s="33">
        <v>107.2</v>
      </c>
      <c r="CK160" s="33">
        <v>0</v>
      </c>
      <c r="CL160" s="33">
        <v>0</v>
      </c>
      <c r="CM160" s="33">
        <v>378.13333333333333</v>
      </c>
      <c r="CN160" s="33">
        <v>0</v>
      </c>
      <c r="CO160" s="33">
        <v>378.13333333333333</v>
      </c>
      <c r="CP160" s="33">
        <v>378.13333333333333</v>
      </c>
      <c r="CQ160" s="33">
        <v>8.6166666666666707</v>
      </c>
      <c r="CR160" s="33">
        <v>0</v>
      </c>
      <c r="CS160" s="33">
        <v>8.6166666666666707</v>
      </c>
      <c r="CT160" s="33">
        <v>0</v>
      </c>
      <c r="CU160" s="33">
        <v>0</v>
      </c>
      <c r="CV160" s="32">
        <v>0</v>
      </c>
      <c r="CW160" s="32">
        <v>0</v>
      </c>
      <c r="CX160" s="32">
        <v>0</v>
      </c>
      <c r="CY160" s="32">
        <v>0</v>
      </c>
      <c r="CZ160" s="32">
        <v>0</v>
      </c>
      <c r="DA160" s="32">
        <v>0</v>
      </c>
      <c r="DB160" s="32">
        <v>0</v>
      </c>
      <c r="DC160" s="32">
        <v>0</v>
      </c>
      <c r="DD160" s="32">
        <v>0</v>
      </c>
      <c r="DE160" s="32">
        <v>0</v>
      </c>
      <c r="DF160" s="32">
        <v>88</v>
      </c>
      <c r="DG160" s="32">
        <v>109</v>
      </c>
      <c r="DH160" s="32">
        <v>83</v>
      </c>
      <c r="DI160" s="32">
        <v>86</v>
      </c>
      <c r="DJ160" s="32">
        <v>0</v>
      </c>
      <c r="DK160" s="32">
        <v>0</v>
      </c>
      <c r="DL160" s="32">
        <v>366</v>
      </c>
      <c r="DM160" s="32">
        <v>0</v>
      </c>
      <c r="DN160" s="32">
        <v>366</v>
      </c>
      <c r="DO160" s="32">
        <v>366</v>
      </c>
      <c r="DP160" s="32">
        <v>1</v>
      </c>
      <c r="DQ160" s="32">
        <v>107</v>
      </c>
      <c r="DR160" s="32">
        <v>10</v>
      </c>
      <c r="DS160" s="32">
        <v>0</v>
      </c>
      <c r="DT160" s="32">
        <v>10</v>
      </c>
      <c r="DU160" s="32">
        <v>43</v>
      </c>
      <c r="DV160" s="33">
        <v>25.459999999999997</v>
      </c>
      <c r="DW160" s="33">
        <v>22.76</v>
      </c>
      <c r="DX160" s="33">
        <v>0</v>
      </c>
      <c r="DY160" s="33">
        <v>18.663</v>
      </c>
      <c r="DZ160" s="33">
        <v>0</v>
      </c>
      <c r="EA160" s="33">
        <v>25.459999999999997</v>
      </c>
      <c r="EB160" s="34">
        <v>0.10452127659574484</v>
      </c>
      <c r="EC160" s="32"/>
      <c r="ED160" s="32">
        <v>0</v>
      </c>
      <c r="EE160" s="32">
        <v>365</v>
      </c>
      <c r="EF160" s="32">
        <v>0</v>
      </c>
      <c r="EG160" s="32">
        <v>0</v>
      </c>
      <c r="EH160" s="32">
        <v>365</v>
      </c>
      <c r="EI160" s="32">
        <v>365</v>
      </c>
      <c r="EJ160" s="32">
        <v>0</v>
      </c>
      <c r="EK160" s="32">
        <v>9</v>
      </c>
      <c r="EL160" s="32">
        <v>9</v>
      </c>
      <c r="EM160" s="32">
        <v>9</v>
      </c>
      <c r="EN160" s="32">
        <v>0</v>
      </c>
      <c r="EO160" s="32">
        <v>0</v>
      </c>
      <c r="EP160" s="33">
        <v>0.5</v>
      </c>
      <c r="EQ160" s="33">
        <v>0</v>
      </c>
      <c r="ER160" s="33">
        <v>2</v>
      </c>
      <c r="ES160" s="33">
        <v>0.5</v>
      </c>
      <c r="ET160" s="33">
        <v>0</v>
      </c>
      <c r="EU160" s="33">
        <v>3</v>
      </c>
    </row>
    <row r="161" spans="1:151" x14ac:dyDescent="0.3">
      <c r="A161" s="25" t="s">
        <v>66</v>
      </c>
      <c r="B161" s="25" t="s">
        <v>306</v>
      </c>
      <c r="C161" s="24" t="s">
        <v>739</v>
      </c>
      <c r="D161" s="24" t="s">
        <v>272</v>
      </c>
      <c r="E161" s="26" t="s">
        <v>504</v>
      </c>
      <c r="F161" s="26" t="s">
        <v>504</v>
      </c>
      <c r="G161" s="28">
        <v>105.42222222222222</v>
      </c>
      <c r="H161" s="28">
        <v>3.8444444444444446</v>
      </c>
      <c r="I161" s="29">
        <v>100</v>
      </c>
      <c r="J161" s="29">
        <v>619</v>
      </c>
      <c r="K161" s="29">
        <v>171</v>
      </c>
      <c r="L161" s="29">
        <v>66</v>
      </c>
      <c r="M161" s="29">
        <v>956</v>
      </c>
      <c r="N161" s="29">
        <v>856</v>
      </c>
      <c r="O161" s="29">
        <v>890</v>
      </c>
      <c r="P161" s="29">
        <v>3</v>
      </c>
      <c r="Q161" s="24">
        <v>101.11666666666666</v>
      </c>
      <c r="R161" s="24">
        <v>101.41666666666667</v>
      </c>
      <c r="S161" s="24">
        <v>108.96666666666667</v>
      </c>
      <c r="T161" s="24">
        <v>102.94444444444444</v>
      </c>
      <c r="U161" s="24">
        <v>100.12222222222222</v>
      </c>
      <c r="V161" s="24">
        <v>106.16111111111111</v>
      </c>
      <c r="W161" s="24">
        <v>93.861111111111114</v>
      </c>
      <c r="X161" s="24">
        <v>78.111111111111114</v>
      </c>
      <c r="Y161" s="24">
        <v>94.261111111111106</v>
      </c>
      <c r="Z161" s="24">
        <v>66.522222222222226</v>
      </c>
      <c r="AA161" s="24">
        <v>0</v>
      </c>
      <c r="AB161" s="24">
        <v>0</v>
      </c>
      <c r="AC161" s="24">
        <v>0</v>
      </c>
      <c r="AD161" s="24">
        <v>613.47222222222217</v>
      </c>
      <c r="AE161" s="24">
        <v>172.37222222222221</v>
      </c>
      <c r="AF161" s="24">
        <v>66.522222222222226</v>
      </c>
      <c r="AG161" s="24">
        <v>886.96111111111111</v>
      </c>
      <c r="AH161" s="24">
        <v>852.36666666666656</v>
      </c>
      <c r="AI161" s="24">
        <v>953.48333333333335</v>
      </c>
      <c r="AJ161" s="28">
        <v>113.67222222222222</v>
      </c>
      <c r="AK161" s="28">
        <v>2</v>
      </c>
      <c r="AL161" s="28">
        <v>115.67222222222222</v>
      </c>
      <c r="AM161" s="29">
        <v>94</v>
      </c>
      <c r="AN161" s="37">
        <v>105</v>
      </c>
      <c r="AO161" s="24">
        <v>97</v>
      </c>
      <c r="AP161" s="24">
        <v>110</v>
      </c>
      <c r="AQ161" s="24">
        <v>103</v>
      </c>
      <c r="AR161" s="24">
        <v>103</v>
      </c>
      <c r="AS161" s="24">
        <v>106</v>
      </c>
      <c r="AT161" s="24">
        <v>76</v>
      </c>
      <c r="AU161" s="24">
        <v>85</v>
      </c>
      <c r="AV161" s="24">
        <v>93</v>
      </c>
      <c r="AW161" s="24">
        <v>0</v>
      </c>
      <c r="AX161" s="24">
        <v>0</v>
      </c>
      <c r="AY161" s="24">
        <v>0</v>
      </c>
      <c r="AZ161" s="24">
        <v>624</v>
      </c>
      <c r="BA161" s="24">
        <v>161</v>
      </c>
      <c r="BB161" s="24">
        <v>93</v>
      </c>
      <c r="BC161" s="24">
        <v>879</v>
      </c>
      <c r="BD161" s="24">
        <v>878</v>
      </c>
      <c r="BE161" s="24">
        <v>972</v>
      </c>
      <c r="BF161" s="24">
        <v>0</v>
      </c>
      <c r="BG161" s="24">
        <v>94</v>
      </c>
      <c r="BH161" s="24">
        <v>0</v>
      </c>
      <c r="BI161" s="27">
        <v>247</v>
      </c>
      <c r="BJ161" s="24">
        <v>118</v>
      </c>
      <c r="BK161" s="29">
        <v>3</v>
      </c>
      <c r="BL161" s="29">
        <v>121</v>
      </c>
      <c r="BM161" s="29">
        <v>177</v>
      </c>
      <c r="BN161" s="30">
        <v>6.0006429183731724E-2</v>
      </c>
      <c r="BO161" s="31">
        <v>60.201000000000001</v>
      </c>
      <c r="BP161" s="31">
        <v>57.201000000000001</v>
      </c>
      <c r="BQ161" s="31">
        <v>54.15</v>
      </c>
      <c r="BR161" s="31">
        <v>60.463000000000001</v>
      </c>
      <c r="BS161" s="32">
        <v>0</v>
      </c>
      <c r="BT161" s="32">
        <v>0</v>
      </c>
      <c r="BU161" s="33">
        <v>0</v>
      </c>
      <c r="BV161" s="33">
        <v>94.622221999999994</v>
      </c>
      <c r="BW161" s="33">
        <v>0</v>
      </c>
      <c r="BX161" s="33">
        <v>94.62222222222222</v>
      </c>
      <c r="BY161" s="33">
        <v>101.45555555555555</v>
      </c>
      <c r="BZ161" s="33">
        <v>95.688888888888883</v>
      </c>
      <c r="CA161" s="33">
        <v>106.11111111111111</v>
      </c>
      <c r="CB161" s="33">
        <v>100.28333333333333</v>
      </c>
      <c r="CC161" s="33">
        <v>103.48888888888889</v>
      </c>
      <c r="CD161" s="33">
        <v>103.71111111111111</v>
      </c>
      <c r="CE161" s="33">
        <v>75.422222222222217</v>
      </c>
      <c r="CF161" s="33">
        <v>86.62222222222222</v>
      </c>
      <c r="CG161" s="33">
        <v>92.361111111111114</v>
      </c>
      <c r="CH161" s="33">
        <v>0</v>
      </c>
      <c r="CI161" s="33">
        <v>0</v>
      </c>
      <c r="CJ161" s="33">
        <v>0</v>
      </c>
      <c r="CK161" s="33">
        <v>610.73888888888882</v>
      </c>
      <c r="CL161" s="33">
        <v>162.04444444444442</v>
      </c>
      <c r="CM161" s="33">
        <v>92.361111111111114</v>
      </c>
      <c r="CN161" s="33">
        <v>867.40555555555557</v>
      </c>
      <c r="CO161" s="33">
        <v>865.14444444444439</v>
      </c>
      <c r="CP161" s="33">
        <v>959.76666666666665</v>
      </c>
      <c r="CQ161" s="33">
        <v>116.677777777778</v>
      </c>
      <c r="CR161" s="33">
        <v>2.2944444444444398</v>
      </c>
      <c r="CS161" s="33">
        <v>118.97222222222244</v>
      </c>
      <c r="CT161" s="33">
        <v>0</v>
      </c>
      <c r="CU161" s="33">
        <v>0</v>
      </c>
      <c r="CV161" s="32">
        <v>94</v>
      </c>
      <c r="CW161" s="32">
        <v>94</v>
      </c>
      <c r="CX161" s="32">
        <v>101</v>
      </c>
      <c r="CY161" s="32">
        <v>102</v>
      </c>
      <c r="CZ161" s="32">
        <v>94</v>
      </c>
      <c r="DA161" s="32">
        <v>102</v>
      </c>
      <c r="DB161" s="32">
        <v>111</v>
      </c>
      <c r="DC161" s="32">
        <v>101</v>
      </c>
      <c r="DD161" s="32">
        <v>96</v>
      </c>
      <c r="DE161" s="32">
        <v>78</v>
      </c>
      <c r="DF161" s="32">
        <v>88</v>
      </c>
      <c r="DG161" s="32">
        <v>0</v>
      </c>
      <c r="DH161" s="32">
        <v>0</v>
      </c>
      <c r="DI161" s="32">
        <v>0</v>
      </c>
      <c r="DJ161" s="32">
        <v>611</v>
      </c>
      <c r="DK161" s="32">
        <v>174</v>
      </c>
      <c r="DL161" s="32">
        <v>88</v>
      </c>
      <c r="DM161" s="32">
        <v>879</v>
      </c>
      <c r="DN161" s="32">
        <v>873</v>
      </c>
      <c r="DO161" s="32">
        <v>967</v>
      </c>
      <c r="DP161" s="32">
        <v>0</v>
      </c>
      <c r="DQ161" s="32">
        <v>276</v>
      </c>
      <c r="DR161" s="32">
        <v>116</v>
      </c>
      <c r="DS161" s="32">
        <v>3</v>
      </c>
      <c r="DT161" s="32">
        <v>119</v>
      </c>
      <c r="DU161" s="32">
        <v>178</v>
      </c>
      <c r="DV161" s="33">
        <v>57.551000000000002</v>
      </c>
      <c r="DW161" s="33">
        <v>54.551000000000002</v>
      </c>
      <c r="DX161" s="33">
        <v>28.5</v>
      </c>
      <c r="DY161" s="33">
        <v>17.704999999999998</v>
      </c>
      <c r="DZ161" s="33">
        <v>0</v>
      </c>
      <c r="EA161" s="33">
        <v>60.051000000000002</v>
      </c>
      <c r="EB161" s="34">
        <v>6.3903075974251267E-2</v>
      </c>
      <c r="EC161" s="32"/>
      <c r="ED161" s="32">
        <v>101</v>
      </c>
      <c r="EE161" s="32">
        <v>863</v>
      </c>
      <c r="EF161" s="32">
        <v>624</v>
      </c>
      <c r="EG161" s="32">
        <v>173</v>
      </c>
      <c r="EH161" s="32">
        <v>66</v>
      </c>
      <c r="EI161" s="32">
        <v>964</v>
      </c>
      <c r="EJ161" s="32">
        <v>0</v>
      </c>
      <c r="EK161" s="32">
        <v>117</v>
      </c>
      <c r="EL161" s="32">
        <v>117</v>
      </c>
      <c r="EM161" s="32">
        <v>113</v>
      </c>
      <c r="EN161" s="32">
        <v>4</v>
      </c>
      <c r="EO161" s="32">
        <v>0</v>
      </c>
      <c r="EP161" s="33">
        <v>22.838000000000001</v>
      </c>
      <c r="EQ161" s="33">
        <v>0</v>
      </c>
      <c r="ER161" s="33">
        <v>6.4749999999999996</v>
      </c>
      <c r="ES161" s="33">
        <v>1.238</v>
      </c>
      <c r="ET161" s="33">
        <v>11.688000000000001</v>
      </c>
      <c r="EU161" s="33">
        <v>42.239000000000004</v>
      </c>
    </row>
    <row r="162" spans="1:151" x14ac:dyDescent="0.3">
      <c r="A162" s="25" t="s">
        <v>68</v>
      </c>
      <c r="B162" s="25" t="s">
        <v>308</v>
      </c>
      <c r="C162" s="24" t="s">
        <v>69</v>
      </c>
      <c r="D162" s="24" t="s">
        <v>272</v>
      </c>
      <c r="E162" s="26" t="s">
        <v>504</v>
      </c>
      <c r="F162" s="26" t="s">
        <v>504</v>
      </c>
      <c r="G162" s="28">
        <v>17.972222222222221</v>
      </c>
      <c r="H162" s="28">
        <v>0</v>
      </c>
      <c r="I162" s="29">
        <v>13</v>
      </c>
      <c r="J162" s="29">
        <v>49</v>
      </c>
      <c r="K162" s="29">
        <v>0</v>
      </c>
      <c r="L162" s="29">
        <v>0</v>
      </c>
      <c r="M162" s="29">
        <v>62</v>
      </c>
      <c r="N162" s="29">
        <v>49</v>
      </c>
      <c r="O162" s="29">
        <v>62</v>
      </c>
      <c r="P162" s="29">
        <v>0</v>
      </c>
      <c r="Q162" s="24">
        <v>14.027777777777779</v>
      </c>
      <c r="R162" s="24">
        <v>8.2944444444444443</v>
      </c>
      <c r="S162" s="24">
        <v>8.5333333333333332</v>
      </c>
      <c r="T162" s="24">
        <v>12.433333333333334</v>
      </c>
      <c r="U162" s="24">
        <v>12.3</v>
      </c>
      <c r="V162" s="24">
        <v>3</v>
      </c>
      <c r="W162" s="24">
        <v>6.7833333333333332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51.344444444444441</v>
      </c>
      <c r="AE162" s="24">
        <v>0</v>
      </c>
      <c r="AF162" s="24">
        <v>0</v>
      </c>
      <c r="AG162" s="24">
        <v>65.37222222222222</v>
      </c>
      <c r="AH162" s="24">
        <v>51.344444444444441</v>
      </c>
      <c r="AI162" s="24">
        <v>65.37222222222222</v>
      </c>
      <c r="AJ162" s="28">
        <v>19.566666666666666</v>
      </c>
      <c r="AK162" s="28">
        <v>0</v>
      </c>
      <c r="AL162" s="28">
        <v>19.566666666666666</v>
      </c>
      <c r="AM162" s="29">
        <v>12</v>
      </c>
      <c r="AN162" s="37">
        <v>14</v>
      </c>
      <c r="AO162" s="24">
        <v>8</v>
      </c>
      <c r="AP162" s="24">
        <v>11</v>
      </c>
      <c r="AQ162" s="24">
        <v>17</v>
      </c>
      <c r="AR162" s="24">
        <v>13</v>
      </c>
      <c r="AS162" s="24">
        <v>0</v>
      </c>
      <c r="AT162" s="24">
        <v>0</v>
      </c>
      <c r="AU162" s="24">
        <v>0</v>
      </c>
      <c r="AV162" s="24">
        <v>0</v>
      </c>
      <c r="AW162" s="24">
        <v>0</v>
      </c>
      <c r="AX162" s="24">
        <v>0</v>
      </c>
      <c r="AY162" s="24">
        <v>0</v>
      </c>
      <c r="AZ162" s="24">
        <v>63</v>
      </c>
      <c r="BA162" s="24">
        <v>0</v>
      </c>
      <c r="BB162" s="24">
        <v>0</v>
      </c>
      <c r="BC162" s="24">
        <v>75</v>
      </c>
      <c r="BD162" s="24">
        <v>63</v>
      </c>
      <c r="BE162" s="24">
        <v>75</v>
      </c>
      <c r="BF162" s="24">
        <v>12</v>
      </c>
      <c r="BG162" s="24">
        <v>0</v>
      </c>
      <c r="BH162" s="24">
        <v>0</v>
      </c>
      <c r="BI162" s="27">
        <v>41</v>
      </c>
      <c r="BJ162" s="24">
        <v>16</v>
      </c>
      <c r="BK162" s="29">
        <v>0</v>
      </c>
      <c r="BL162" s="29">
        <v>16</v>
      </c>
      <c r="BM162" s="29">
        <v>8</v>
      </c>
      <c r="BN162" s="30">
        <v>6.5000000000000002E-2</v>
      </c>
      <c r="BO162" s="31">
        <v>6.8</v>
      </c>
      <c r="BP162" s="31">
        <v>5.8</v>
      </c>
      <c r="BQ162" s="31">
        <v>5.8</v>
      </c>
      <c r="BR162" s="31">
        <v>7.8000000000000007</v>
      </c>
      <c r="BS162" s="32">
        <v>0</v>
      </c>
      <c r="BT162" s="32">
        <v>0</v>
      </c>
      <c r="BU162" s="33">
        <v>0</v>
      </c>
      <c r="BV162" s="33">
        <v>1.1110999999999999E-2</v>
      </c>
      <c r="BW162" s="33">
        <v>12.211111000000001</v>
      </c>
      <c r="BX162" s="33">
        <v>12.222222222222221</v>
      </c>
      <c r="BY162" s="33">
        <v>11.8</v>
      </c>
      <c r="BZ162" s="33">
        <v>10.050000000000001</v>
      </c>
      <c r="CA162" s="33">
        <v>10.522222222222222</v>
      </c>
      <c r="CB162" s="33">
        <v>16.711111111111112</v>
      </c>
      <c r="CC162" s="33">
        <v>10.3</v>
      </c>
      <c r="CD162" s="33">
        <v>0.46666666666666667</v>
      </c>
      <c r="CE162" s="33">
        <v>0</v>
      </c>
      <c r="CF162" s="33">
        <v>0</v>
      </c>
      <c r="CG162" s="33">
        <v>0</v>
      </c>
      <c r="CH162" s="33">
        <v>0</v>
      </c>
      <c r="CI162" s="33">
        <v>0</v>
      </c>
      <c r="CJ162" s="33">
        <v>0</v>
      </c>
      <c r="CK162" s="33">
        <v>59.849999999999994</v>
      </c>
      <c r="CL162" s="33">
        <v>0</v>
      </c>
      <c r="CM162" s="33">
        <v>0</v>
      </c>
      <c r="CN162" s="33">
        <v>72.072222222222223</v>
      </c>
      <c r="CO162" s="33">
        <v>59.849999999999994</v>
      </c>
      <c r="CP162" s="33">
        <v>72.072222222222223</v>
      </c>
      <c r="CQ162" s="33">
        <v>16.1055555555556</v>
      </c>
      <c r="CR162" s="33">
        <v>0</v>
      </c>
      <c r="CS162" s="33">
        <v>16.1055555555556</v>
      </c>
      <c r="CT162" s="33">
        <v>0</v>
      </c>
      <c r="CU162" s="33">
        <v>14</v>
      </c>
      <c r="CV162" s="32">
        <v>0</v>
      </c>
      <c r="CW162" s="32">
        <v>14</v>
      </c>
      <c r="CX162" s="32">
        <v>11</v>
      </c>
      <c r="CY162" s="32">
        <v>9</v>
      </c>
      <c r="CZ162" s="32">
        <v>10</v>
      </c>
      <c r="DA162" s="32">
        <v>10</v>
      </c>
      <c r="DB162" s="32">
        <v>12</v>
      </c>
      <c r="DC162" s="32">
        <v>5</v>
      </c>
      <c r="DD162" s="32">
        <v>0</v>
      </c>
      <c r="DE162" s="32">
        <v>0</v>
      </c>
      <c r="DF162" s="32">
        <v>0</v>
      </c>
      <c r="DG162" s="32">
        <v>0</v>
      </c>
      <c r="DH162" s="32">
        <v>0</v>
      </c>
      <c r="DI162" s="32">
        <v>0</v>
      </c>
      <c r="DJ162" s="32">
        <v>57</v>
      </c>
      <c r="DK162" s="32">
        <v>0</v>
      </c>
      <c r="DL162" s="32">
        <v>0</v>
      </c>
      <c r="DM162" s="32">
        <v>71</v>
      </c>
      <c r="DN162" s="32">
        <v>57</v>
      </c>
      <c r="DO162" s="32">
        <v>71</v>
      </c>
      <c r="DP162" s="32">
        <v>0</v>
      </c>
      <c r="DQ162" s="32">
        <v>28</v>
      </c>
      <c r="DR162" s="32">
        <v>14</v>
      </c>
      <c r="DS162" s="32">
        <v>0</v>
      </c>
      <c r="DT162" s="32">
        <v>14</v>
      </c>
      <c r="DU162" s="32">
        <v>5</v>
      </c>
      <c r="DV162" s="33">
        <v>4.8</v>
      </c>
      <c r="DW162" s="33">
        <v>4.3</v>
      </c>
      <c r="DX162" s="33">
        <v>4.3</v>
      </c>
      <c r="DY162" s="33">
        <v>0</v>
      </c>
      <c r="DZ162" s="33">
        <v>0</v>
      </c>
      <c r="EA162" s="33">
        <v>4.8</v>
      </c>
      <c r="EB162" s="34">
        <v>7.5000000000000011E-2</v>
      </c>
      <c r="EC162" s="32"/>
      <c r="ED162" s="32">
        <v>13</v>
      </c>
      <c r="EE162" s="32">
        <v>58</v>
      </c>
      <c r="EF162" s="32">
        <v>58</v>
      </c>
      <c r="EG162" s="32">
        <v>0</v>
      </c>
      <c r="EH162" s="32">
        <v>0</v>
      </c>
      <c r="EI162" s="32">
        <v>71</v>
      </c>
      <c r="EJ162" s="32">
        <v>0</v>
      </c>
      <c r="EK162" s="32">
        <v>14</v>
      </c>
      <c r="EL162" s="32">
        <v>14</v>
      </c>
      <c r="EM162" s="32">
        <v>14</v>
      </c>
      <c r="EN162" s="32">
        <v>0</v>
      </c>
      <c r="EO162" s="32">
        <v>4</v>
      </c>
      <c r="EP162" s="33">
        <v>0.75</v>
      </c>
      <c r="EQ162" s="33">
        <v>0</v>
      </c>
      <c r="ER162" s="33">
        <v>1.5</v>
      </c>
      <c r="ES162" s="33">
        <v>0.8</v>
      </c>
      <c r="ET162" s="33">
        <v>1.2</v>
      </c>
      <c r="EU162" s="33">
        <v>4.25</v>
      </c>
    </row>
    <row r="163" spans="1:151" x14ac:dyDescent="0.3">
      <c r="A163" s="25" t="s">
        <v>70</v>
      </c>
      <c r="B163" s="25" t="s">
        <v>310</v>
      </c>
      <c r="C163" s="24" t="s">
        <v>740</v>
      </c>
      <c r="D163" s="24" t="s">
        <v>272</v>
      </c>
      <c r="E163" s="26" t="s">
        <v>504</v>
      </c>
      <c r="F163" s="26" t="s">
        <v>504</v>
      </c>
      <c r="G163" s="28">
        <v>56.111111111111114</v>
      </c>
      <c r="H163" s="28">
        <v>3.3777777777777778</v>
      </c>
      <c r="I163" s="29">
        <v>0</v>
      </c>
      <c r="J163" s="29">
        <v>0</v>
      </c>
      <c r="K163" s="29">
        <v>0</v>
      </c>
      <c r="L163" s="29">
        <v>287</v>
      </c>
      <c r="M163" s="29">
        <v>287</v>
      </c>
      <c r="N163" s="29">
        <v>287</v>
      </c>
      <c r="O163" s="29">
        <v>0</v>
      </c>
      <c r="P163" s="29">
        <v>3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51.18888888888889</v>
      </c>
      <c r="AA163" s="24">
        <v>63.755555555555553</v>
      </c>
      <c r="AB163" s="24">
        <v>73.761111111111106</v>
      </c>
      <c r="AC163" s="24">
        <v>81.355555555555554</v>
      </c>
      <c r="AD163" s="24">
        <v>0</v>
      </c>
      <c r="AE163" s="24">
        <v>0</v>
      </c>
      <c r="AF163" s="24">
        <v>270.06111111111113</v>
      </c>
      <c r="AG163" s="24">
        <v>0</v>
      </c>
      <c r="AH163" s="24">
        <v>270.06111111111113</v>
      </c>
      <c r="AI163" s="24">
        <v>270.06111111111113</v>
      </c>
      <c r="AJ163" s="28">
        <v>57.45</v>
      </c>
      <c r="AK163" s="28">
        <v>3.6722222222222221</v>
      </c>
      <c r="AL163" s="28">
        <v>61.122222222222227</v>
      </c>
      <c r="AM163" s="29">
        <v>0</v>
      </c>
      <c r="AN163" s="37">
        <v>0</v>
      </c>
      <c r="AO163" s="24">
        <v>0</v>
      </c>
      <c r="AP163" s="24">
        <v>0</v>
      </c>
      <c r="AQ163" s="24">
        <v>0</v>
      </c>
      <c r="AR163" s="24">
        <v>0</v>
      </c>
      <c r="AS163" s="24">
        <v>0</v>
      </c>
      <c r="AT163" s="24">
        <v>0</v>
      </c>
      <c r="AU163" s="24">
        <v>0</v>
      </c>
      <c r="AV163" s="24">
        <v>43</v>
      </c>
      <c r="AW163" s="24">
        <v>79</v>
      </c>
      <c r="AX163" s="24">
        <v>78</v>
      </c>
      <c r="AY163" s="24">
        <v>75</v>
      </c>
      <c r="AZ163" s="24">
        <v>0</v>
      </c>
      <c r="BA163" s="24">
        <v>0</v>
      </c>
      <c r="BB163" s="24">
        <v>275</v>
      </c>
      <c r="BC163" s="24">
        <v>0</v>
      </c>
      <c r="BD163" s="24">
        <v>275</v>
      </c>
      <c r="BE163" s="24">
        <v>275</v>
      </c>
      <c r="BF163" s="24">
        <v>0</v>
      </c>
      <c r="BG163" s="24">
        <v>0</v>
      </c>
      <c r="BH163" s="24">
        <v>0</v>
      </c>
      <c r="BI163" s="27">
        <v>158</v>
      </c>
      <c r="BJ163" s="24">
        <v>66</v>
      </c>
      <c r="BK163" s="29">
        <v>5</v>
      </c>
      <c r="BL163" s="29">
        <v>71</v>
      </c>
      <c r="BM163" s="29">
        <v>17</v>
      </c>
      <c r="BN163" s="30">
        <v>5.7281553398058294E-2</v>
      </c>
      <c r="BO163" s="31">
        <v>18.536999999999999</v>
      </c>
      <c r="BP163" s="31">
        <v>16.536999999999999</v>
      </c>
      <c r="BQ163" s="31">
        <v>16.536999999999999</v>
      </c>
      <c r="BR163" s="31">
        <v>19.536999999999999</v>
      </c>
      <c r="BS163" s="32">
        <v>0</v>
      </c>
      <c r="BT163" s="32">
        <v>0</v>
      </c>
      <c r="BU163" s="33">
        <v>0</v>
      </c>
      <c r="BV163" s="33">
        <v>0</v>
      </c>
      <c r="BW163" s="33">
        <v>0</v>
      </c>
      <c r="BX163" s="33">
        <v>0</v>
      </c>
      <c r="BY163" s="33">
        <v>0</v>
      </c>
      <c r="BZ163" s="33">
        <v>0</v>
      </c>
      <c r="CA163" s="33">
        <v>0</v>
      </c>
      <c r="CB163" s="33">
        <v>0</v>
      </c>
      <c r="CC163" s="33">
        <v>0</v>
      </c>
      <c r="CD163" s="33">
        <v>0</v>
      </c>
      <c r="CE163" s="33">
        <v>0</v>
      </c>
      <c r="CF163" s="33">
        <v>0</v>
      </c>
      <c r="CG163" s="33">
        <v>48.12777777777778</v>
      </c>
      <c r="CH163" s="33">
        <v>84.61666666666666</v>
      </c>
      <c r="CI163" s="33">
        <v>78.905555555555551</v>
      </c>
      <c r="CJ163" s="33">
        <v>75.838888888888889</v>
      </c>
      <c r="CK163" s="33">
        <v>0</v>
      </c>
      <c r="CL163" s="33">
        <v>0</v>
      </c>
      <c r="CM163" s="33">
        <v>287.48888888888888</v>
      </c>
      <c r="CN163" s="33">
        <v>0</v>
      </c>
      <c r="CO163" s="33">
        <v>287.48888888888888</v>
      </c>
      <c r="CP163" s="33">
        <v>287.48888888888888</v>
      </c>
      <c r="CQ163" s="33">
        <v>72.644444444444403</v>
      </c>
      <c r="CR163" s="33">
        <v>0</v>
      </c>
      <c r="CS163" s="33">
        <v>72.644444444444403</v>
      </c>
      <c r="CT163" s="33">
        <v>0</v>
      </c>
      <c r="CU163" s="33">
        <v>0</v>
      </c>
      <c r="CV163" s="32">
        <v>0</v>
      </c>
      <c r="CW163" s="32">
        <v>0</v>
      </c>
      <c r="CX163" s="32">
        <v>0</v>
      </c>
      <c r="CY163" s="32">
        <v>0</v>
      </c>
      <c r="CZ163" s="32">
        <v>0</v>
      </c>
      <c r="DA163" s="32">
        <v>0</v>
      </c>
      <c r="DB163" s="32">
        <v>0</v>
      </c>
      <c r="DC163" s="32">
        <v>0</v>
      </c>
      <c r="DD163" s="32">
        <v>0</v>
      </c>
      <c r="DE163" s="32">
        <v>0</v>
      </c>
      <c r="DF163" s="32">
        <v>53</v>
      </c>
      <c r="DG163" s="32">
        <v>73</v>
      </c>
      <c r="DH163" s="32">
        <v>103</v>
      </c>
      <c r="DI163" s="32">
        <v>96</v>
      </c>
      <c r="DJ163" s="32">
        <v>0</v>
      </c>
      <c r="DK163" s="32">
        <v>0</v>
      </c>
      <c r="DL163" s="32">
        <v>325</v>
      </c>
      <c r="DM163" s="32">
        <v>0</v>
      </c>
      <c r="DN163" s="32">
        <v>325</v>
      </c>
      <c r="DO163" s="32">
        <v>325</v>
      </c>
      <c r="DP163" s="32">
        <v>0</v>
      </c>
      <c r="DQ163" s="32">
        <v>199</v>
      </c>
      <c r="DR163" s="32">
        <v>74</v>
      </c>
      <c r="DS163" s="32">
        <v>2</v>
      </c>
      <c r="DT163" s="32">
        <v>76</v>
      </c>
      <c r="DU163" s="32">
        <v>27</v>
      </c>
      <c r="DV163" s="33">
        <v>16.969000000000001</v>
      </c>
      <c r="DW163" s="33">
        <v>14.968999999999999</v>
      </c>
      <c r="DX163" s="33">
        <v>0</v>
      </c>
      <c r="DY163" s="33">
        <v>13.193999999999999</v>
      </c>
      <c r="DZ163" s="33">
        <v>0</v>
      </c>
      <c r="EA163" s="33">
        <v>18.968999999999998</v>
      </c>
      <c r="EB163" s="34">
        <v>7.2060606060606047E-2</v>
      </c>
      <c r="EC163" s="32"/>
      <c r="ED163" s="32">
        <v>0</v>
      </c>
      <c r="EE163" s="32">
        <v>323</v>
      </c>
      <c r="EF163" s="32">
        <v>0</v>
      </c>
      <c r="EG163" s="32">
        <v>0</v>
      </c>
      <c r="EH163" s="32">
        <v>323</v>
      </c>
      <c r="EI163" s="32">
        <v>323</v>
      </c>
      <c r="EJ163" s="32">
        <v>0</v>
      </c>
      <c r="EK163" s="32">
        <v>81</v>
      </c>
      <c r="EL163" s="32">
        <v>81</v>
      </c>
      <c r="EM163" s="32">
        <v>79</v>
      </c>
      <c r="EN163" s="32">
        <v>2</v>
      </c>
      <c r="EO163" s="32">
        <v>0</v>
      </c>
      <c r="EP163" s="33">
        <v>5</v>
      </c>
      <c r="EQ163" s="33">
        <v>0.5</v>
      </c>
      <c r="ER163" s="33">
        <v>3</v>
      </c>
      <c r="ES163" s="33">
        <v>4.5</v>
      </c>
      <c r="ET163" s="33">
        <v>0</v>
      </c>
      <c r="EU163" s="33">
        <v>13</v>
      </c>
    </row>
    <row r="164" spans="1:151" x14ac:dyDescent="0.3">
      <c r="A164" s="25" t="s">
        <v>72</v>
      </c>
      <c r="B164" s="25" t="s">
        <v>312</v>
      </c>
      <c r="C164" s="24" t="s">
        <v>741</v>
      </c>
      <c r="D164" s="24" t="s">
        <v>272</v>
      </c>
      <c r="E164" s="26" t="s">
        <v>504</v>
      </c>
      <c r="F164" s="26" t="s">
        <v>504</v>
      </c>
      <c r="G164" s="28">
        <v>2.4888888888888889</v>
      </c>
      <c r="H164" s="28">
        <v>0</v>
      </c>
      <c r="I164" s="29">
        <v>0</v>
      </c>
      <c r="J164" s="29">
        <v>0</v>
      </c>
      <c r="K164" s="29">
        <v>0</v>
      </c>
      <c r="L164" s="29">
        <v>484</v>
      </c>
      <c r="M164" s="29">
        <v>484</v>
      </c>
      <c r="N164" s="29">
        <v>484</v>
      </c>
      <c r="O164" s="29">
        <v>0</v>
      </c>
      <c r="P164" s="29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62.327777777777776</v>
      </c>
      <c r="AA164" s="24">
        <v>158.81666666666666</v>
      </c>
      <c r="AB164" s="24">
        <v>126.80555555555556</v>
      </c>
      <c r="AC164" s="24">
        <v>117.95555555555555</v>
      </c>
      <c r="AD164" s="24">
        <v>0</v>
      </c>
      <c r="AE164" s="24">
        <v>0</v>
      </c>
      <c r="AF164" s="24">
        <v>465.90555555555557</v>
      </c>
      <c r="AG164" s="24">
        <v>0</v>
      </c>
      <c r="AH164" s="24">
        <v>465.90555555555557</v>
      </c>
      <c r="AI164" s="24">
        <v>465.90555555555557</v>
      </c>
      <c r="AJ164" s="28">
        <v>2</v>
      </c>
      <c r="AK164" s="28">
        <v>0</v>
      </c>
      <c r="AL164" s="28">
        <v>2</v>
      </c>
      <c r="AM164" s="29">
        <v>0</v>
      </c>
      <c r="AN164" s="37">
        <v>0</v>
      </c>
      <c r="AO164" s="24">
        <v>0</v>
      </c>
      <c r="AP164" s="24">
        <v>0</v>
      </c>
      <c r="AQ164" s="24">
        <v>0</v>
      </c>
      <c r="AR164" s="24">
        <v>0</v>
      </c>
      <c r="AS164" s="24">
        <v>0</v>
      </c>
      <c r="AT164" s="24">
        <v>0</v>
      </c>
      <c r="AU164" s="24">
        <v>0</v>
      </c>
      <c r="AV164" s="24">
        <v>70</v>
      </c>
      <c r="AW164" s="24">
        <v>176</v>
      </c>
      <c r="AX164" s="24">
        <v>147</v>
      </c>
      <c r="AY164" s="24">
        <v>129</v>
      </c>
      <c r="AZ164" s="24">
        <v>0</v>
      </c>
      <c r="BA164" s="24">
        <v>0</v>
      </c>
      <c r="BB164" s="24">
        <v>522</v>
      </c>
      <c r="BC164" s="24">
        <v>0</v>
      </c>
      <c r="BD164" s="24">
        <v>522</v>
      </c>
      <c r="BE164" s="24">
        <v>522</v>
      </c>
      <c r="BF164" s="24">
        <v>0</v>
      </c>
      <c r="BG164" s="24">
        <v>0</v>
      </c>
      <c r="BH164" s="24">
        <v>1</v>
      </c>
      <c r="BI164" s="27">
        <v>65</v>
      </c>
      <c r="BJ164" s="24">
        <v>8</v>
      </c>
      <c r="BK164" s="29">
        <v>0</v>
      </c>
      <c r="BL164" s="29">
        <v>8</v>
      </c>
      <c r="BM164" s="29">
        <v>6</v>
      </c>
      <c r="BN164" s="30">
        <v>0.10360951926138173</v>
      </c>
      <c r="BO164" s="31">
        <v>19.475999999999999</v>
      </c>
      <c r="BP164" s="31">
        <v>17.936</v>
      </c>
      <c r="BQ164" s="31">
        <v>17.936</v>
      </c>
      <c r="BR164" s="31">
        <v>19.475999999999999</v>
      </c>
      <c r="BS164" s="32">
        <v>0</v>
      </c>
      <c r="BT164" s="32">
        <v>0</v>
      </c>
      <c r="BU164" s="33">
        <v>0</v>
      </c>
      <c r="BV164" s="33">
        <v>0</v>
      </c>
      <c r="BW164" s="33">
        <v>0</v>
      </c>
      <c r="BX164" s="33">
        <v>0</v>
      </c>
      <c r="BY164" s="33">
        <v>0</v>
      </c>
      <c r="BZ164" s="33">
        <v>0</v>
      </c>
      <c r="CA164" s="33">
        <v>0</v>
      </c>
      <c r="CB164" s="33">
        <v>0</v>
      </c>
      <c r="CC164" s="33">
        <v>0</v>
      </c>
      <c r="CD164" s="33">
        <v>0</v>
      </c>
      <c r="CE164" s="33">
        <v>0</v>
      </c>
      <c r="CF164" s="33">
        <v>0</v>
      </c>
      <c r="CG164" s="33">
        <v>63.511111111111113</v>
      </c>
      <c r="CH164" s="33">
        <v>169.48888888888888</v>
      </c>
      <c r="CI164" s="33">
        <v>143.62222222222223</v>
      </c>
      <c r="CJ164" s="33">
        <v>126.02777777777777</v>
      </c>
      <c r="CK164" s="33">
        <v>0</v>
      </c>
      <c r="CL164" s="33">
        <v>0</v>
      </c>
      <c r="CM164" s="33">
        <v>502.65000000000003</v>
      </c>
      <c r="CN164" s="33">
        <v>0</v>
      </c>
      <c r="CO164" s="33">
        <v>502.65000000000003</v>
      </c>
      <c r="CP164" s="33">
        <v>502.65000000000003</v>
      </c>
      <c r="CQ164" s="33">
        <v>5.1388888888888902</v>
      </c>
      <c r="CR164" s="33">
        <v>0</v>
      </c>
      <c r="CS164" s="33">
        <v>5.1388888888888902</v>
      </c>
      <c r="CT164" s="33">
        <v>0</v>
      </c>
      <c r="CU164" s="33">
        <v>0</v>
      </c>
      <c r="CV164" s="32">
        <v>0</v>
      </c>
      <c r="CW164" s="32">
        <v>0</v>
      </c>
      <c r="CX164" s="32">
        <v>0</v>
      </c>
      <c r="CY164" s="32">
        <v>0</v>
      </c>
      <c r="CZ164" s="32">
        <v>0</v>
      </c>
      <c r="DA164" s="32">
        <v>0</v>
      </c>
      <c r="DB164" s="32">
        <v>0</v>
      </c>
      <c r="DC164" s="32">
        <v>0</v>
      </c>
      <c r="DD164" s="32">
        <v>0</v>
      </c>
      <c r="DE164" s="32">
        <v>0</v>
      </c>
      <c r="DF164" s="32">
        <v>68</v>
      </c>
      <c r="DG164" s="32">
        <v>163</v>
      </c>
      <c r="DH164" s="32">
        <v>163</v>
      </c>
      <c r="DI164" s="32">
        <v>144</v>
      </c>
      <c r="DJ164" s="32">
        <v>0</v>
      </c>
      <c r="DK164" s="32">
        <v>0</v>
      </c>
      <c r="DL164" s="32">
        <v>538</v>
      </c>
      <c r="DM164" s="32">
        <v>0</v>
      </c>
      <c r="DN164" s="32">
        <v>538</v>
      </c>
      <c r="DO164" s="32">
        <v>538</v>
      </c>
      <c r="DP164" s="32">
        <v>0</v>
      </c>
      <c r="DQ164" s="32">
        <v>66</v>
      </c>
      <c r="DR164" s="32">
        <v>4</v>
      </c>
      <c r="DS164" s="32">
        <v>0</v>
      </c>
      <c r="DT164" s="32">
        <v>4</v>
      </c>
      <c r="DU164" s="32">
        <v>1</v>
      </c>
      <c r="DV164" s="33">
        <v>18.735999999999997</v>
      </c>
      <c r="DW164" s="33">
        <v>17.195999999999998</v>
      </c>
      <c r="DX164" s="33">
        <v>0</v>
      </c>
      <c r="DY164" s="33">
        <v>12.696</v>
      </c>
      <c r="DZ164" s="33">
        <v>0</v>
      </c>
      <c r="EA164" s="33">
        <v>20.195999999999998</v>
      </c>
      <c r="EB164" s="34">
        <v>0.10181831353230947</v>
      </c>
      <c r="EC164" s="32"/>
      <c r="ED164" s="32">
        <v>0</v>
      </c>
      <c r="EE164" s="32">
        <v>535</v>
      </c>
      <c r="EF164" s="32">
        <v>0</v>
      </c>
      <c r="EG164" s="32">
        <v>0</v>
      </c>
      <c r="EH164" s="32">
        <v>535</v>
      </c>
      <c r="EI164" s="32">
        <v>535</v>
      </c>
      <c r="EJ164" s="32">
        <v>0</v>
      </c>
      <c r="EK164" s="32">
        <v>2</v>
      </c>
      <c r="EL164" s="32">
        <v>2</v>
      </c>
      <c r="EM164" s="32">
        <v>2</v>
      </c>
      <c r="EN164" s="32">
        <v>0</v>
      </c>
      <c r="EO164" s="32">
        <v>0</v>
      </c>
      <c r="EP164" s="33">
        <v>1.0249999999999999</v>
      </c>
      <c r="EQ164" s="33">
        <v>0</v>
      </c>
      <c r="ER164" s="33">
        <v>0</v>
      </c>
      <c r="ES164" s="33">
        <v>0.375</v>
      </c>
      <c r="ET164" s="33">
        <v>0</v>
      </c>
      <c r="EU164" s="33">
        <v>1.4</v>
      </c>
    </row>
    <row r="165" spans="1:151" x14ac:dyDescent="0.3">
      <c r="A165" s="25" t="s">
        <v>495</v>
      </c>
      <c r="B165" s="25" t="s">
        <v>496</v>
      </c>
      <c r="C165" s="24" t="s">
        <v>497</v>
      </c>
      <c r="D165" s="24" t="s">
        <v>272</v>
      </c>
      <c r="E165" s="26" t="s">
        <v>503</v>
      </c>
      <c r="F165" s="26" t="s">
        <v>504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  <c r="W165" s="28">
        <v>0</v>
      </c>
      <c r="X165" s="28">
        <v>0</v>
      </c>
      <c r="Y165" s="28">
        <v>0</v>
      </c>
      <c r="Z165" s="28">
        <v>0</v>
      </c>
      <c r="AA165" s="28">
        <v>0</v>
      </c>
      <c r="AB165" s="28">
        <v>0</v>
      </c>
      <c r="AC165" s="28">
        <v>0</v>
      </c>
      <c r="AD165" s="28">
        <v>0</v>
      </c>
      <c r="AE165" s="28">
        <v>0</v>
      </c>
      <c r="AF165" s="28">
        <v>0</v>
      </c>
      <c r="AG165" s="28">
        <v>0</v>
      </c>
      <c r="AH165" s="28">
        <v>0</v>
      </c>
      <c r="AI165" s="28">
        <v>0</v>
      </c>
      <c r="AJ165" s="28">
        <v>0</v>
      </c>
      <c r="AK165" s="28">
        <v>0</v>
      </c>
      <c r="AL165" s="28">
        <v>0</v>
      </c>
      <c r="AM165" s="28">
        <v>0</v>
      </c>
      <c r="AN165" s="28">
        <v>0</v>
      </c>
      <c r="AO165" s="28">
        <v>0</v>
      </c>
      <c r="AP165" s="28">
        <v>0</v>
      </c>
      <c r="AQ165" s="28">
        <v>0</v>
      </c>
      <c r="AR165" s="28">
        <v>0</v>
      </c>
      <c r="AS165" s="28">
        <v>0</v>
      </c>
      <c r="AT165" s="28">
        <v>0</v>
      </c>
      <c r="AU165" s="28">
        <v>0</v>
      </c>
      <c r="AV165" s="28">
        <v>0</v>
      </c>
      <c r="AW165" s="28">
        <v>0</v>
      </c>
      <c r="AX165" s="28">
        <v>0</v>
      </c>
      <c r="AY165" s="28">
        <v>0</v>
      </c>
      <c r="AZ165" s="28">
        <v>0</v>
      </c>
      <c r="BA165" s="28">
        <v>0</v>
      </c>
      <c r="BB165" s="28">
        <v>0</v>
      </c>
      <c r="BC165" s="28">
        <v>0</v>
      </c>
      <c r="BD165" s="28">
        <v>0</v>
      </c>
      <c r="BE165" s="28">
        <v>0</v>
      </c>
      <c r="BF165" s="28">
        <v>0</v>
      </c>
      <c r="BG165" s="28">
        <v>0</v>
      </c>
      <c r="BH165" s="28">
        <v>0</v>
      </c>
      <c r="BI165" s="28">
        <v>0</v>
      </c>
      <c r="BJ165" s="28">
        <v>0</v>
      </c>
      <c r="BK165" s="28">
        <v>0</v>
      </c>
      <c r="BL165" s="28">
        <v>0</v>
      </c>
      <c r="BM165" s="28">
        <v>0</v>
      </c>
      <c r="BN165" s="28">
        <v>0</v>
      </c>
      <c r="BO165" s="28">
        <v>0</v>
      </c>
      <c r="BP165" s="28">
        <v>0</v>
      </c>
      <c r="BQ165" s="28">
        <v>0</v>
      </c>
      <c r="BR165" s="28">
        <v>0</v>
      </c>
      <c r="BS165" s="28">
        <v>0</v>
      </c>
      <c r="BT165" s="28">
        <v>0</v>
      </c>
      <c r="BU165" s="28">
        <v>0</v>
      </c>
      <c r="BV165" s="28">
        <v>0</v>
      </c>
      <c r="BW165" s="28">
        <v>0</v>
      </c>
      <c r="BX165" s="33">
        <v>0</v>
      </c>
      <c r="BY165" s="33">
        <v>0</v>
      </c>
      <c r="BZ165" s="33">
        <v>0</v>
      </c>
      <c r="CA165" s="33">
        <v>0</v>
      </c>
      <c r="CB165" s="33">
        <v>0</v>
      </c>
      <c r="CC165" s="33">
        <v>0</v>
      </c>
      <c r="CD165" s="33">
        <v>0</v>
      </c>
      <c r="CE165" s="33">
        <v>0</v>
      </c>
      <c r="CF165" s="33">
        <v>0</v>
      </c>
      <c r="CG165" s="33">
        <v>0</v>
      </c>
      <c r="CH165" s="33">
        <v>0</v>
      </c>
      <c r="CI165" s="33">
        <v>0</v>
      </c>
      <c r="CJ165" s="33">
        <v>0</v>
      </c>
      <c r="CK165" s="33">
        <v>0</v>
      </c>
      <c r="CL165" s="33">
        <v>0</v>
      </c>
      <c r="CM165" s="33">
        <v>0</v>
      </c>
      <c r="CN165" s="33">
        <v>0</v>
      </c>
      <c r="CO165" s="33">
        <v>0</v>
      </c>
      <c r="CP165" s="33">
        <v>0</v>
      </c>
      <c r="CQ165" s="28">
        <v>0</v>
      </c>
      <c r="CR165" s="28">
        <v>0</v>
      </c>
      <c r="CS165" s="28">
        <v>0</v>
      </c>
      <c r="CT165" s="28">
        <v>0</v>
      </c>
      <c r="CU165" s="28">
        <v>0</v>
      </c>
      <c r="CV165" s="28">
        <v>0</v>
      </c>
      <c r="CW165" s="28">
        <v>0</v>
      </c>
      <c r="CX165" s="28">
        <v>0</v>
      </c>
      <c r="CY165" s="28">
        <v>0</v>
      </c>
      <c r="CZ165" s="28">
        <v>0</v>
      </c>
      <c r="DA165" s="28">
        <v>0</v>
      </c>
      <c r="DB165" s="28">
        <v>0</v>
      </c>
      <c r="DC165" s="28">
        <v>0</v>
      </c>
      <c r="DD165" s="28">
        <v>0</v>
      </c>
      <c r="DE165" s="28">
        <v>0</v>
      </c>
      <c r="DF165" s="28">
        <v>0</v>
      </c>
      <c r="DG165" s="28">
        <v>0</v>
      </c>
      <c r="DH165" s="28">
        <v>0</v>
      </c>
      <c r="DI165" s="28">
        <v>0</v>
      </c>
      <c r="DJ165" s="28">
        <v>0</v>
      </c>
      <c r="DK165" s="28">
        <v>0</v>
      </c>
      <c r="DL165" s="28">
        <v>0</v>
      </c>
      <c r="DM165" s="28">
        <v>0</v>
      </c>
      <c r="DN165" s="28">
        <v>0</v>
      </c>
      <c r="DO165" s="28">
        <v>0</v>
      </c>
      <c r="DP165" s="28">
        <v>0</v>
      </c>
      <c r="DQ165" s="28">
        <v>0</v>
      </c>
      <c r="DR165" s="28">
        <v>0</v>
      </c>
      <c r="DS165" s="28">
        <v>0</v>
      </c>
      <c r="DT165" s="28">
        <v>0</v>
      </c>
      <c r="DU165" s="28">
        <v>0</v>
      </c>
      <c r="DV165" s="28">
        <v>0</v>
      </c>
      <c r="DW165" s="28">
        <v>0</v>
      </c>
      <c r="DX165" s="28">
        <v>0</v>
      </c>
      <c r="DY165" s="28">
        <v>0</v>
      </c>
      <c r="DZ165" s="28">
        <v>0</v>
      </c>
      <c r="EA165" s="28">
        <v>0</v>
      </c>
      <c r="EB165" s="38">
        <v>0</v>
      </c>
      <c r="EC165" s="28">
        <v>0</v>
      </c>
      <c r="ED165" s="28">
        <v>0</v>
      </c>
      <c r="EE165" s="32">
        <v>140</v>
      </c>
      <c r="EF165" s="32">
        <v>80</v>
      </c>
      <c r="EG165" s="32">
        <v>40</v>
      </c>
      <c r="EH165" s="32">
        <v>20</v>
      </c>
      <c r="EI165" s="32">
        <v>140</v>
      </c>
      <c r="EJ165" s="32">
        <v>0</v>
      </c>
      <c r="EK165" s="32">
        <v>0</v>
      </c>
      <c r="EL165" s="32">
        <v>0</v>
      </c>
      <c r="EM165" s="32">
        <v>0</v>
      </c>
      <c r="EN165" s="32">
        <v>0</v>
      </c>
      <c r="EO165" s="32">
        <v>0</v>
      </c>
      <c r="EP165" s="33">
        <v>0</v>
      </c>
      <c r="EQ165" s="33">
        <v>0</v>
      </c>
      <c r="ER165" s="33">
        <v>0</v>
      </c>
      <c r="ES165" s="33">
        <v>0</v>
      </c>
      <c r="ET165" s="33">
        <v>0</v>
      </c>
      <c r="EU165" s="33">
        <v>0</v>
      </c>
    </row>
    <row r="166" spans="1:151" x14ac:dyDescent="0.3">
      <c r="A166" s="25" t="s">
        <v>498</v>
      </c>
      <c r="B166" s="25" t="s">
        <v>499</v>
      </c>
      <c r="C166" s="24" t="s">
        <v>500</v>
      </c>
      <c r="D166" s="24" t="s">
        <v>272</v>
      </c>
      <c r="E166" s="26" t="s">
        <v>503</v>
      </c>
      <c r="F166" s="26" t="s">
        <v>504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v>0</v>
      </c>
      <c r="T166" s="28">
        <v>0</v>
      </c>
      <c r="U166" s="28">
        <v>0</v>
      </c>
      <c r="V166" s="28">
        <v>0</v>
      </c>
      <c r="W166" s="28">
        <v>0</v>
      </c>
      <c r="X166" s="28">
        <v>0</v>
      </c>
      <c r="Y166" s="28">
        <v>0</v>
      </c>
      <c r="Z166" s="28">
        <v>0</v>
      </c>
      <c r="AA166" s="28">
        <v>0</v>
      </c>
      <c r="AB166" s="28">
        <v>0</v>
      </c>
      <c r="AC166" s="28">
        <v>0</v>
      </c>
      <c r="AD166" s="28">
        <v>0</v>
      </c>
      <c r="AE166" s="28">
        <v>0</v>
      </c>
      <c r="AF166" s="28">
        <v>0</v>
      </c>
      <c r="AG166" s="28">
        <v>0</v>
      </c>
      <c r="AH166" s="28">
        <v>0</v>
      </c>
      <c r="AI166" s="28">
        <v>0</v>
      </c>
      <c r="AJ166" s="28">
        <v>0</v>
      </c>
      <c r="AK166" s="28">
        <v>0</v>
      </c>
      <c r="AL166" s="28">
        <v>0</v>
      </c>
      <c r="AM166" s="28">
        <v>0</v>
      </c>
      <c r="AN166" s="28">
        <v>0</v>
      </c>
      <c r="AO166" s="28">
        <v>0</v>
      </c>
      <c r="AP166" s="28">
        <v>0</v>
      </c>
      <c r="AQ166" s="28">
        <v>0</v>
      </c>
      <c r="AR166" s="28">
        <v>0</v>
      </c>
      <c r="AS166" s="28">
        <v>0</v>
      </c>
      <c r="AT166" s="28">
        <v>0</v>
      </c>
      <c r="AU166" s="28">
        <v>0</v>
      </c>
      <c r="AV166" s="28">
        <v>0</v>
      </c>
      <c r="AW166" s="28">
        <v>0</v>
      </c>
      <c r="AX166" s="28">
        <v>0</v>
      </c>
      <c r="AY166" s="28">
        <v>0</v>
      </c>
      <c r="AZ166" s="28">
        <v>0</v>
      </c>
      <c r="BA166" s="28">
        <v>0</v>
      </c>
      <c r="BB166" s="28">
        <v>0</v>
      </c>
      <c r="BC166" s="28">
        <v>0</v>
      </c>
      <c r="BD166" s="28">
        <v>0</v>
      </c>
      <c r="BE166" s="28">
        <v>0</v>
      </c>
      <c r="BF166" s="28">
        <v>0</v>
      </c>
      <c r="BG166" s="28">
        <v>0</v>
      </c>
      <c r="BH166" s="28">
        <v>0</v>
      </c>
      <c r="BI166" s="28">
        <v>0</v>
      </c>
      <c r="BJ166" s="28">
        <v>0</v>
      </c>
      <c r="BK166" s="28">
        <v>0</v>
      </c>
      <c r="BL166" s="28">
        <v>0</v>
      </c>
      <c r="BM166" s="28">
        <v>0</v>
      </c>
      <c r="BN166" s="28">
        <v>0</v>
      </c>
      <c r="BO166" s="28">
        <v>0</v>
      </c>
      <c r="BP166" s="28">
        <v>0</v>
      </c>
      <c r="BQ166" s="28">
        <v>0</v>
      </c>
      <c r="BR166" s="28">
        <v>0</v>
      </c>
      <c r="BS166" s="28">
        <v>0</v>
      </c>
      <c r="BT166" s="28">
        <v>0</v>
      </c>
      <c r="BU166" s="28">
        <v>0</v>
      </c>
      <c r="BV166" s="28">
        <v>0</v>
      </c>
      <c r="BW166" s="28">
        <v>0</v>
      </c>
      <c r="BX166" s="33">
        <v>0</v>
      </c>
      <c r="BY166" s="33">
        <v>0</v>
      </c>
      <c r="BZ166" s="33">
        <v>0</v>
      </c>
      <c r="CA166" s="33">
        <v>0</v>
      </c>
      <c r="CB166" s="33">
        <v>0</v>
      </c>
      <c r="CC166" s="33">
        <v>0</v>
      </c>
      <c r="CD166" s="33">
        <v>0</v>
      </c>
      <c r="CE166" s="33">
        <v>0</v>
      </c>
      <c r="CF166" s="33">
        <v>0</v>
      </c>
      <c r="CG166" s="33">
        <v>0</v>
      </c>
      <c r="CH166" s="33">
        <v>0</v>
      </c>
      <c r="CI166" s="33">
        <v>0</v>
      </c>
      <c r="CJ166" s="33">
        <v>0</v>
      </c>
      <c r="CK166" s="33">
        <v>0</v>
      </c>
      <c r="CL166" s="33">
        <v>0</v>
      </c>
      <c r="CM166" s="33">
        <v>0</v>
      </c>
      <c r="CN166" s="33">
        <v>0</v>
      </c>
      <c r="CO166" s="33">
        <v>0</v>
      </c>
      <c r="CP166" s="33">
        <v>0</v>
      </c>
      <c r="CQ166" s="28">
        <v>0</v>
      </c>
      <c r="CR166" s="28">
        <v>0</v>
      </c>
      <c r="CS166" s="28">
        <v>0</v>
      </c>
      <c r="CT166" s="28">
        <v>0</v>
      </c>
      <c r="CU166" s="28">
        <v>0</v>
      </c>
      <c r="CV166" s="28">
        <v>0</v>
      </c>
      <c r="CW166" s="28">
        <v>0</v>
      </c>
      <c r="CX166" s="28">
        <v>0</v>
      </c>
      <c r="CY166" s="28">
        <v>0</v>
      </c>
      <c r="CZ166" s="28">
        <v>0</v>
      </c>
      <c r="DA166" s="28">
        <v>0</v>
      </c>
      <c r="DB166" s="28">
        <v>0</v>
      </c>
      <c r="DC166" s="28">
        <v>0</v>
      </c>
      <c r="DD166" s="28">
        <v>0</v>
      </c>
      <c r="DE166" s="28">
        <v>0</v>
      </c>
      <c r="DF166" s="28">
        <v>0</v>
      </c>
      <c r="DG166" s="28">
        <v>0</v>
      </c>
      <c r="DH166" s="28">
        <v>0</v>
      </c>
      <c r="DI166" s="28">
        <v>0</v>
      </c>
      <c r="DJ166" s="28">
        <v>0</v>
      </c>
      <c r="DK166" s="28">
        <v>0</v>
      </c>
      <c r="DL166" s="28">
        <v>0</v>
      </c>
      <c r="DM166" s="28">
        <v>0</v>
      </c>
      <c r="DN166" s="28">
        <v>0</v>
      </c>
      <c r="DO166" s="28">
        <v>0</v>
      </c>
      <c r="DP166" s="28">
        <v>0</v>
      </c>
      <c r="DQ166" s="28">
        <v>0</v>
      </c>
      <c r="DR166" s="28">
        <v>0</v>
      </c>
      <c r="DS166" s="28">
        <v>0</v>
      </c>
      <c r="DT166" s="28">
        <v>0</v>
      </c>
      <c r="DU166" s="28">
        <v>0</v>
      </c>
      <c r="DV166" s="28">
        <v>0</v>
      </c>
      <c r="DW166" s="28">
        <v>0</v>
      </c>
      <c r="DX166" s="28">
        <v>0</v>
      </c>
      <c r="DY166" s="28">
        <v>0</v>
      </c>
      <c r="DZ166" s="28">
        <v>0</v>
      </c>
      <c r="EA166" s="28">
        <v>0</v>
      </c>
      <c r="EB166" s="38">
        <v>0</v>
      </c>
      <c r="EC166" s="28">
        <v>0</v>
      </c>
      <c r="ED166" s="28">
        <v>0</v>
      </c>
      <c r="EE166" s="32">
        <v>145</v>
      </c>
      <c r="EF166" s="32">
        <v>0</v>
      </c>
      <c r="EG166" s="32">
        <v>109</v>
      </c>
      <c r="EH166" s="32">
        <v>36</v>
      </c>
      <c r="EI166" s="32">
        <v>145</v>
      </c>
      <c r="EJ166" s="32">
        <v>0</v>
      </c>
      <c r="EK166" s="32">
        <v>0</v>
      </c>
      <c r="EL166" s="32">
        <v>0</v>
      </c>
      <c r="EM166" s="32">
        <v>0</v>
      </c>
      <c r="EN166" s="32">
        <v>0</v>
      </c>
      <c r="EO166" s="32">
        <v>0</v>
      </c>
      <c r="EP166" s="33">
        <v>0</v>
      </c>
      <c r="EQ166" s="33">
        <v>0</v>
      </c>
      <c r="ER166" s="33">
        <v>0</v>
      </c>
      <c r="ES166" s="33">
        <v>0</v>
      </c>
      <c r="ET166" s="33">
        <v>0</v>
      </c>
      <c r="EU166" s="33">
        <v>0</v>
      </c>
    </row>
    <row r="167" spans="1:151" x14ac:dyDescent="0.3">
      <c r="G167" s="39">
        <f>SUBTOTAL(109,FY26_LE_Data_March20[FY22ADM - SPED Resource])</f>
        <v>70443.305555555562</v>
      </c>
      <c r="H167" s="39">
        <f>SUBTOTAL(109,FY26_LE_Data_March20[FY22ADM - SPED Self-Contained])</f>
        <v>11523.833333333336</v>
      </c>
      <c r="I167" s="37">
        <f>SUBTOTAL(109,FY26_LE_Data_March20[Oct 1, 2022 - K])</f>
        <v>46694</v>
      </c>
      <c r="J167" s="37">
        <f>SUBTOTAL(109,FY26_LE_Data_March20[Oct 1, 2022 - Grades 1-6])</f>
        <v>307225</v>
      </c>
      <c r="K167" s="37">
        <f>SUBTOTAL(109,FY26_LE_Data_March20[Oct 1, 2022 - Grades 7-8])</f>
        <v>107167</v>
      </c>
      <c r="L167" s="37">
        <f>SUBTOTAL(109,FY26_LE_Data_March20[Oct 1, 2022 - Grades 9-12])</f>
        <v>214760</v>
      </c>
      <c r="M167" s="37">
        <f>SUBTOTAL(109,FY26_LE_Data_March20[Oct 1, 2022 - Grades K-12])</f>
        <v>675846</v>
      </c>
      <c r="N167" s="37">
        <f>SUBTOTAL(109,FY26_LE_Data_March20[Oct 1, 2022 - Grades 1-12])</f>
        <v>629152</v>
      </c>
      <c r="O167" s="37">
        <f>SUBTOTAL(109,FY26_LE_Data_March20[Oct 1, 2022 - Grades K-8])</f>
        <v>461086</v>
      </c>
      <c r="P167" s="37">
        <f>SUBTOTAL(109,FY26_LE_Data_March20[Oct 1, 2022 - Self-Contained])</f>
        <v>11546</v>
      </c>
      <c r="Q167" s="39">
        <f>SUBTOTAL(109,FY26_LE_Data_March20[FY23 ADM - K])</f>
        <v>45562.083333333343</v>
      </c>
      <c r="R167" s="39">
        <f>SUBTOTAL(109,FY26_LE_Data_March20[FY23 ADM - Grade 1])</f>
        <v>49280.738888888904</v>
      </c>
      <c r="S167" s="39">
        <f>SUBTOTAL(109,FY26_LE_Data_March20[FY23 ADM - Grade 2])</f>
        <v>49305.505555555559</v>
      </c>
      <c r="T167" s="39">
        <f>SUBTOTAL(109,FY26_LE_Data_March20[FY23 ADM - Grade 3])</f>
        <v>49947.555555555562</v>
      </c>
      <c r="U167" s="39">
        <f>SUBTOTAL(109,FY26_LE_Data_March20[FY23 ADM - Grade 4])</f>
        <v>50906.922222222223</v>
      </c>
      <c r="V167" s="39">
        <f>SUBTOTAL(109,FY26_LE_Data_March20[FY23 ADM - Grade 5])</f>
        <v>49875.600000000013</v>
      </c>
      <c r="W167" s="39">
        <f>SUBTOTAL(109,FY26_LE_Data_March20[FY23 ADM - Grade 6])</f>
        <v>51171.5222222222</v>
      </c>
      <c r="X167" s="39">
        <f>SUBTOTAL(109,FY26_LE_Data_March20[FY23 ADM - Grade 7])</f>
        <v>51711.422222222216</v>
      </c>
      <c r="Y167" s="39">
        <f>SUBTOTAL(109,FY26_LE_Data_March20[FY23 ADM - Grade 8])</f>
        <v>52771.127777777765</v>
      </c>
      <c r="Z167" s="39">
        <f>SUBTOTAL(109,FY26_LE_Data_March20[FY23 ADM - Grade 9])</f>
        <v>54150.766666666692</v>
      </c>
      <c r="AA167" s="39">
        <f>SUBTOTAL(109,FY26_LE_Data_March20[FY23 ADM - Grade 10])</f>
        <v>53915.55000000001</v>
      </c>
      <c r="AB167" s="39">
        <f>SUBTOTAL(109,FY26_LE_Data_March20[FY23 ADM - Grade 11])</f>
        <v>51068.699999999961</v>
      </c>
      <c r="AC167" s="39">
        <f>SUBTOTAL(109,FY26_LE_Data_March20[FY23 ADM - Grade 12])</f>
        <v>44624.683333333327</v>
      </c>
      <c r="AD167" s="39">
        <f>SUBTOTAL(109,FY26_LE_Data_March20[FY23 ADM - Grades 1-6])</f>
        <v>300487.8444444444</v>
      </c>
      <c r="AE167" s="39">
        <f>SUBTOTAL(109,FY26_LE_Data_March20[FY23 ADM - Grades 7-8])</f>
        <v>104482.54999999997</v>
      </c>
      <c r="AF167" s="39">
        <f>SUBTOTAL(109,FY26_LE_Data_March20[FY23 ADM - Grades 9-12])</f>
        <v>203759.7</v>
      </c>
      <c r="AG167" s="39">
        <f>SUBTOTAL(109,FY26_LE_Data_March20[FY23 ADM - Grades K-8])</f>
        <v>450532.47777777776</v>
      </c>
      <c r="AH167" s="39">
        <f>SUBTOTAL(109,FY26_LE_Data_March20[FY23 ADM - Grades 1-12])</f>
        <v>608730.09444444452</v>
      </c>
      <c r="AI167" s="39">
        <f>SUBTOTAL(109,FY26_LE_Data_March20[FY23 ADM - Grades K-12])</f>
        <v>654292.17777777789</v>
      </c>
      <c r="AJ167" s="39">
        <f>SUBTOTAL(109,FY26_LE_Data_March20[FY23ADM - SPED Resource])</f>
        <v>73194.161111111025</v>
      </c>
      <c r="AK167" s="39">
        <f>SUBTOTAL(109,FY26_LE_Data_March20[FY23ADM - SPED Self-Contained])</f>
        <v>11778.861111111113</v>
      </c>
      <c r="AL167" s="39">
        <f>SUBTOTAL(109,FY26_LE_Data_March20[FY23ADM - Total SPED])</f>
        <v>84973.022222222222</v>
      </c>
      <c r="AM167" s="39">
        <f>SUBTOTAL(109,FY26_LE_Data_March20[Oct. 1, 2023 - K])</f>
        <v>45256</v>
      </c>
      <c r="AN167" s="39">
        <f>SUBTOTAL(109,FY26_LE_Data_March20[Oct. 1, 2023 - Grade 1])</f>
        <v>48197</v>
      </c>
      <c r="AO167" s="39">
        <f>SUBTOTAL(109,FY26_LE_Data_March20[Oct. 1, 2023 - Grade 2])</f>
        <v>50926</v>
      </c>
      <c r="AP167" s="39">
        <f>SUBTOTAL(109,FY26_LE_Data_March20[Oct. 1, 2023 - Grade 3])</f>
        <v>51017</v>
      </c>
      <c r="AQ167" s="39">
        <f>SUBTOTAL(109,FY26_LE_Data_March20[Oct. 1, 2023 - Grade 4])</f>
        <v>51429</v>
      </c>
      <c r="AR167" s="39">
        <f>SUBTOTAL(109,FY26_LE_Data_March20[Oct. 1, 2023 - Grade 5])</f>
        <v>52597</v>
      </c>
      <c r="AS167" s="39">
        <f>SUBTOTAL(109,FY26_LE_Data_March20[Oct. 1, 2023 - Grade 6])</f>
        <v>51476</v>
      </c>
      <c r="AT167" s="39">
        <f>SUBTOTAL(109,FY26_LE_Data_March20[Oct. 1, 2023 - Grade 7])</f>
        <v>52969</v>
      </c>
      <c r="AU167" s="39">
        <f>SUBTOTAL(109,FY26_LE_Data_March20[Oct. 1, 2023 - Grade 8])</f>
        <v>53344</v>
      </c>
      <c r="AV167" s="39">
        <f>SUBTOTAL(109,FY26_LE_Data_March20[Oct. 1, 2023 - Grade 9])</f>
        <v>54553</v>
      </c>
      <c r="AW167" s="39">
        <f>SUBTOTAL(109,FY26_LE_Data_March20[Oct. 1, 2023 - Grade 10])</f>
        <v>55713</v>
      </c>
      <c r="AX167" s="39">
        <f>SUBTOTAL(109,FY26_LE_Data_March20[Oct. 1, 2023 - Grade 11])</f>
        <v>54586</v>
      </c>
      <c r="AY167" s="39">
        <f>SUBTOTAL(109,FY26_LE_Data_March20[Oct. 1, 2023 - Grade 12])</f>
        <v>51906</v>
      </c>
      <c r="AZ167" s="39">
        <f>SUBTOTAL(109,FY26_LE_Data_March20[Oct. 1, 2023 - Grades 1-6])</f>
        <v>305642</v>
      </c>
      <c r="BA167" s="39">
        <f>SUBTOTAL(109,FY26_LE_Data_March20[Oct. 1, 2023 - Grades 7-8])</f>
        <v>106313</v>
      </c>
      <c r="BB167" s="39">
        <f>SUBTOTAL(109,FY26_LE_Data_March20[Oct. 1, 2023 - Grades 9-12])</f>
        <v>216758</v>
      </c>
      <c r="BC167" s="39">
        <f>SUBTOTAL(109,FY26_LE_Data_March20[Oct. 1, 2023 - Grades K-8])</f>
        <v>457211</v>
      </c>
      <c r="BD167" s="39">
        <f>SUBTOTAL(109,FY26_LE_Data_March20[Oct. 1, 2023 - Grades 1-12])</f>
        <v>628713</v>
      </c>
      <c r="BE167" s="39">
        <f>SUBTOTAL(109,FY26_LE_Data_March20[Oct. 1, 2023 - Grades K-12])</f>
        <v>673969</v>
      </c>
      <c r="BF167" s="39">
        <f>SUBTOTAL(109,FY26_LE_Data_March20[Oct. 1, 2023 - FDK Counts])</f>
        <v>34911</v>
      </c>
      <c r="BG167" s="39">
        <f>SUBTOTAL(109,FY26_LE_Data_March20[Oct. 1, 2023 - HDK Counts])</f>
        <v>10345</v>
      </c>
      <c r="BH167" s="39">
        <f>SUBTOTAL(109,FY26_LE_Data_March20[Oct. 1, 2023 - Foreign Exchange])</f>
        <v>353</v>
      </c>
      <c r="BI167" s="39">
        <f>SUBTOTAL(109,FY26_LE_Data_March20[Oct. 1, 2023 - Econ. Disadv.])</f>
        <v>205313</v>
      </c>
      <c r="BJ167" s="39">
        <f>SUBTOTAL(109,FY26_LE_Data_March20[Oct. 1, 2023 - SPED Resource])</f>
        <v>74559</v>
      </c>
      <c r="BK167" s="39">
        <f>SUBTOTAL(109,FY26_LE_Data_March20[Oct. 1, 2023 - SPED Self-Contained])</f>
        <v>11980</v>
      </c>
      <c r="BL167" s="39">
        <f>SUBTOTAL(109,FY26_LE_Data_March20[Oct. 1, 2023 - Total SPED])</f>
        <v>86539</v>
      </c>
      <c r="BM167" s="39">
        <f>SUBTOTAL(109,FY26_LE_Data_March20[Oct. 1, 2023 - LEP])</f>
        <v>59187</v>
      </c>
      <c r="BN167" s="39">
        <f>SUBTOTAL(109,FY26_LE_Data_March20[Prostaff Ratios])</f>
        <v>11.974604401574979</v>
      </c>
      <c r="BO167" s="39">
        <f>SUBTOTAL(109,FY26_LE_Data_March20[ESA - All - FY24])</f>
        <v>38689.897320000033</v>
      </c>
      <c r="BP167" s="39">
        <f>SUBTOTAL(109,FY26_LE_Data_March20[ESA - Educators Only - FY24])</f>
        <v>36872.321320000039</v>
      </c>
      <c r="BQ167" s="39">
        <f>SUBTOTAL(109,FY26_LE_Data_March20[TSM FTE - FY24])</f>
        <v>34418.054980000015</v>
      </c>
      <c r="BR167" s="39">
        <f>SUBTOTAL(109,FY26_LE_Data_March20[Educ. Prof. Hrs. FTE - FY24])</f>
        <v>38333.278880000064</v>
      </c>
      <c r="BS167" s="37">
        <f>SUBTOTAL(109,FY26_LE_Data_March20[Oct 1 2020 Counts - Online Students &gt;180 Days ])</f>
        <v>12086</v>
      </c>
      <c r="BT167" s="37">
        <f>SUBTOTAL(109,FY26_LE_Data_March20[Oct 1 2023 Counts - Online Students &gt;180 Days in FY2023/Still Online on Oct 1])</f>
        <v>11414</v>
      </c>
      <c r="BU167" s="39">
        <f>SUBTOTAL(109,FY26_LE_Data_March20[FY23 ADM - Online Students &gt;180 Days ])</f>
        <v>24125.066656999992</v>
      </c>
      <c r="BV167" s="39">
        <f>SUBTOTAL(109,FY26_LE_Data_March20[FY24 ADM - Half Day K])</f>
        <v>9926.1721820000039</v>
      </c>
      <c r="BW167" s="39">
        <f>SUBTOTAL(109,FY26_LE_Data_March20[FY24 ADM - Full Day K])</f>
        <v>34400.916612999994</v>
      </c>
      <c r="BX167" s="39">
        <f>SUBTOTAL(109,FY26_LE_Data_March20[FY24 ADM - Total K])</f>
        <v>44327.088888888888</v>
      </c>
      <c r="BY167" s="39">
        <f>SUBTOTAL(109,FY26_LE_Data_March20[FY24 ADM - Grade 1])</f>
        <v>47115.005555555552</v>
      </c>
      <c r="BZ167" s="39">
        <f>SUBTOTAL(109,FY26_LE_Data_March20[FY24 ADM - Grade 2])</f>
        <v>49805.616666666705</v>
      </c>
      <c r="CA167" s="39">
        <f>SUBTOTAL(109,FY26_LE_Data_March20[FY24 ADM - Grade 3])</f>
        <v>49998.388888888854</v>
      </c>
      <c r="CB167" s="39">
        <f>SUBTOTAL(109,FY26_LE_Data_March20[FY24 ADM - Grade 4])</f>
        <v>50416.877777777736</v>
      </c>
      <c r="CC167" s="39">
        <f>SUBTOTAL(109,FY26_LE_Data_March20[FY24 ADM - Grade 5])</f>
        <v>51505.688888888923</v>
      </c>
      <c r="CD167" s="39">
        <f>SUBTOTAL(109,FY26_LE_Data_March20[FY24 ADM - Grade 6])</f>
        <v>50315.50555555553</v>
      </c>
      <c r="CE167" s="39">
        <f>SUBTOTAL(109,FY26_LE_Data_March20[FY24 ADM - Grade 7])</f>
        <v>51719.677777777768</v>
      </c>
      <c r="CF167" s="39">
        <f>SUBTOTAL(109,FY26_LE_Data_March20[FY24 ADM - Grade 8])</f>
        <v>52012.31666666668</v>
      </c>
      <c r="CG167" s="39">
        <f>SUBTOTAL(109,FY26_LE_Data_March20[FY24 ADM - Grade 9])</f>
        <v>53221.205555555571</v>
      </c>
      <c r="CH167" s="39">
        <f>SUBTOTAL(109,FY26_LE_Data_March20[FY24 ADM - Grade 10])</f>
        <v>54158.816666666644</v>
      </c>
      <c r="CI167" s="39">
        <f>SUBTOTAL(109,FY26_LE_Data_March20[FY24 ADM - Grade 11])</f>
        <v>52711</v>
      </c>
      <c r="CJ167" s="39">
        <f>SUBTOTAL(109,FY26_LE_Data_March20[FY24 ADM - Grade 12])</f>
        <v>45652.011111111096</v>
      </c>
      <c r="CK167" s="39">
        <f>SUBTOTAL(109,FY26_LE_Data_March20[FY24 ADM - Grades 1-6])</f>
        <v>299157.08333333326</v>
      </c>
      <c r="CL167" s="39">
        <f>SUBTOTAL(109,FY26_LE_Data_March20[FY24 ADM - Grades 7-8])</f>
        <v>103731.9944444445</v>
      </c>
      <c r="CM167" s="39">
        <f>SUBTOTAL(109,FY26_LE_Data_March20[FY24 ADM - Grades 9-12])</f>
        <v>205743.0333333333</v>
      </c>
      <c r="CN167" s="39">
        <f>SUBTOTAL(109,FY26_LE_Data_March20[FY24 ADM - Grades K-8])</f>
        <v>447216.16666666657</v>
      </c>
      <c r="CO167" s="39">
        <f>SUBTOTAL(109,FY26_LE_Data_March20[FY24 ADM - Grades 1-12])</f>
        <v>608632.11111111101</v>
      </c>
      <c r="CP167" s="39">
        <f>SUBTOTAL(109,FY26_LE_Data_March20[FY24 ADM - Grades K-12])</f>
        <v>652959.19999999995</v>
      </c>
      <c r="CQ167" s="39">
        <f>SUBTOTAL(109,FY26_LE_Data_March20[FY24 ADM - SPED Resource])</f>
        <v>75516.211111111144</v>
      </c>
      <c r="CR167" s="39">
        <f>SUBTOTAL(109,FY26_LE_Data_March20[FY24 ADM - SPED Self-Contained])</f>
        <v>11870.383333333339</v>
      </c>
      <c r="CS167" s="39">
        <f>SUBTOTAL(109,FY26_LE_Data_March20[FY24 ADM - Total SPED])</f>
        <v>87386.594444444447</v>
      </c>
      <c r="CT167" s="39">
        <f>SUBTOTAL(109,FY26_LE_Data_March20[FY24 ADM - Online Students - Online All 180 Days])</f>
        <v>22410.277769999997</v>
      </c>
      <c r="CU167" s="39">
        <f>SUBTOTAL(109,FY26_LE_Data_March20[Oct. 1, 2024 - FDK])</f>
        <v>40636</v>
      </c>
      <c r="CV167" s="37">
        <f>SUBTOTAL(109,FY26_LE_Data_March20[Oct. 1, 2024 - HDK])</f>
        <v>4149</v>
      </c>
      <c r="CW167" s="37">
        <f>SUBTOTAL(109,FY26_LE_Data_March20[Oct. 1, 2024 - Total K])</f>
        <v>44785</v>
      </c>
      <c r="CX167" s="37">
        <f>SUBTOTAL(109,FY26_LE_Data_March20[Oct. 1, 2024 - Grade 1])</f>
        <v>46343</v>
      </c>
      <c r="CY167" s="37">
        <f>SUBTOTAL(109,FY26_LE_Data_March20[Oct. 1, 2024 - Grade 2])</f>
        <v>48541</v>
      </c>
      <c r="CZ167" s="37">
        <f>SUBTOTAL(109,FY26_LE_Data_March20[Oct. 1, 2024 - Grade 3])</f>
        <v>51125</v>
      </c>
      <c r="DA167" s="37">
        <f>SUBTOTAL(109,FY26_LE_Data_March20[Oct. 1, 2024 - Grade 4])</f>
        <v>51313</v>
      </c>
      <c r="DB167" s="37">
        <f>SUBTOTAL(109,FY26_LE_Data_March20[Oct. 1, 2024 - Grade 5])</f>
        <v>51708</v>
      </c>
      <c r="DC167" s="37">
        <f>SUBTOTAL(109,FY26_LE_Data_March20[Oct. 1, 2024 - Grade 6])</f>
        <v>52807</v>
      </c>
      <c r="DD167" s="37">
        <f>SUBTOTAL(109,FY26_LE_Data_March20[Oct. 1, 2024 - Grade 7])</f>
        <v>51934</v>
      </c>
      <c r="DE167" s="37">
        <f>SUBTOTAL(109,FY26_LE_Data_March20[Oct. 1, 2024 - Grade 8])</f>
        <v>53134</v>
      </c>
      <c r="DF167" s="37">
        <f>SUBTOTAL(109,FY26_LE_Data_March20[Oct. 1, 2024 - Grade 9])</f>
        <v>53823</v>
      </c>
      <c r="DG167" s="37">
        <f>SUBTOTAL(109,FY26_LE_Data_March20[Oct. 1, 2024 - Grade 10])</f>
        <v>54783</v>
      </c>
      <c r="DH167" s="37">
        <f>SUBTOTAL(109,FY26_LE_Data_March20[Oct. 1, 2024 - Grade 11])</f>
        <v>54980</v>
      </c>
      <c r="DI167" s="37">
        <f>SUBTOTAL(109,FY26_LE_Data_March20[Oct. 1, 2024 - Grade 12])</f>
        <v>53541</v>
      </c>
      <c r="DJ167" s="37">
        <f>SUBTOTAL(109,FY26_LE_Data_March20[Oct. 1, 2024 - Grades 1-6])</f>
        <v>301837</v>
      </c>
      <c r="DK167" s="37">
        <f>SUBTOTAL(109,FY26_LE_Data_March20[Oct. 1, 2024 - Grades 7-8])</f>
        <v>105068</v>
      </c>
      <c r="DL167" s="37">
        <f>SUBTOTAL(109,FY26_LE_Data_March20[Oct. 1, 2024 - Grades 9-12])</f>
        <v>217127</v>
      </c>
      <c r="DM167" s="37">
        <f>SUBTOTAL(109,FY26_LE_Data_March20[Oct. 1, 2024 - Grades K-8])</f>
        <v>451690</v>
      </c>
      <c r="DN167" s="37">
        <f>SUBTOTAL(109,FY26_LE_Data_March20[Oct. 1, 2024 - Grades 1-12])</f>
        <v>624032</v>
      </c>
      <c r="DO167" s="37">
        <f>SUBTOTAL(109,FY26_LE_Data_March20[Oct. 1, 2024 - Grades K-12])</f>
        <v>668817</v>
      </c>
      <c r="DP167" s="37">
        <f>SUBTOTAL(109,FY26_LE_Data_March20[Oct. 1, 2024 - Foreign Exchange])</f>
        <v>349</v>
      </c>
      <c r="DQ167" s="37">
        <f>SUBTOTAL(109,FY26_LE_Data_March20[Oct. 1, 2024 - Econ. Disadv.])</f>
        <v>193684</v>
      </c>
      <c r="DR167" s="37">
        <f>SUBTOTAL(109,FY26_LE_Data_March20[Oct. 1, 2024 - SPED Resource])</f>
        <v>75917</v>
      </c>
      <c r="DS167" s="37">
        <f>SUBTOTAL(109,FY26_LE_Data_March20[Oct. 1, 2024 - SPED Self-Contained])</f>
        <v>11761</v>
      </c>
      <c r="DT167" s="37">
        <f>SUBTOTAL(109,FY26_LE_Data_March20[Oct. 1, 2024 - Total SPED])</f>
        <v>87678</v>
      </c>
      <c r="DU167" s="37">
        <f>SUBTOTAL(109,FY26_LE_Data_March20[Oct. 1, 2024 - LEP])</f>
        <v>61518</v>
      </c>
      <c r="DV167" s="39">
        <f>SUBTOTAL(109,FY26_LE_Data_March20[ESA - All - FY25])</f>
        <v>39070.555149999956</v>
      </c>
      <c r="DW167" s="39">
        <f>SUBTOTAL(109,FY26_LE_Data_March20[ESA - Educators Only - FY25])</f>
        <v>37171.944149999967</v>
      </c>
      <c r="DX167" s="39">
        <f>SUBTOTAL(109,FY26_LE_Data_March20[TSM FTE - Elementary - FY25])</f>
        <v>16531.866999999995</v>
      </c>
      <c r="DY167" s="39">
        <f>SUBTOTAL(109,FY26_LE_Data_March20[TSM FTE - Secondary - FY25])</f>
        <v>14525.604999999998</v>
      </c>
      <c r="DZ167" s="39">
        <f>SUBTOTAL(109,FY26_LE_Data_March20[TSM FTE - Reg. Pre-K - FY25])</f>
        <v>52.273000000000003</v>
      </c>
      <c r="EA167" s="39">
        <f>SUBTOTAL(109,FY26_LE_Data_March20[Educ. Prof. Hrs. FTE - FY25])</f>
        <v>39809.62334999998</v>
      </c>
      <c r="EB167" s="39">
        <f>SUBTOTAL(109,FY26_LE_Data_March20[ProStaff Ratios - FY24 YE])</f>
        <v>11.914819697134307</v>
      </c>
      <c r="EC167" s="37">
        <f>SUBTOTAL(109,FY26_LE_Data_March20[Oct 1 2024 Counts - Online Students &gt;=180 Days in FY2024/Still Online on Oct 1])</f>
        <v>0</v>
      </c>
      <c r="ED167" s="37">
        <f>SUBTOTAL(109,FY26_LE_Data_March20[Oct 1, 2025 (CDC) - K])</f>
        <v>44168</v>
      </c>
      <c r="EE167" s="37">
        <f>SUBTOTAL(109,FY26_LE_Data_March20[Oct 1, 2025 (CDC) - Grades 1-12])</f>
        <v>616835</v>
      </c>
      <c r="EF167" s="37">
        <f>SUBTOTAL(109,FY26_LE_Data_March20[Oct 1, 2025 (CDC) - Grades 1-6])</f>
        <v>46076</v>
      </c>
      <c r="EG167" s="37">
        <f>SUBTOTAL(109,FY26_LE_Data_March20[Oct 1, 2025 (CDC) - Grades 7-8])</f>
        <v>12426</v>
      </c>
      <c r="EH167" s="37">
        <f>SUBTOTAL(109,FY26_LE_Data_March20[Oct 1, 2025 (CDC) - Grades 9-12])</f>
        <v>17384</v>
      </c>
      <c r="EI167" s="37">
        <f>SUBTOTAL(109,FY26_LE_Data_March20[Oct 1, 2025 (CDC) - Grades K-12])</f>
        <v>661003</v>
      </c>
      <c r="EJ167" s="37">
        <f>SUBTOTAL(109,FY26_LE_Data_March20[December 1, 2025 - SPED Pre-K 3-5 Count])</f>
        <v>7627</v>
      </c>
      <c r="EK167" s="37">
        <f>SUBTOTAL(109,FY26_LE_Data_March20[December 1, 2025 - SPED K-12])</f>
        <v>88281</v>
      </c>
      <c r="EL167" s="37">
        <f>SUBTOTAL(109,FY26_LE_Data_March20[December 1, 2025 - SPED PreK-12 - All Ages])</f>
        <v>95909</v>
      </c>
      <c r="EM167" s="37">
        <f>SUBTOTAL(109,FY26_LE_Data_March20[December 1, 2024 - SPED Resource])</f>
        <v>76172</v>
      </c>
      <c r="EN167" s="37">
        <f>SUBTOTAL(109,FY26_LE_Data_March20[December 1, 2024 - SPED Self-Contained])</f>
        <v>12109</v>
      </c>
      <c r="EO167" s="37">
        <f>SUBTOTAL(109,FY26_LE_Data_March20[FY24 ESY Count])</f>
        <v>4722</v>
      </c>
      <c r="EP167" s="39">
        <f>SUBTOTAL(109,FY26_LE_Data_March20[FY24 Classified FTE: Instructional Paraprofessionals])</f>
        <v>12523.861999999997</v>
      </c>
      <c r="EQ167" s="39">
        <f>SUBTOTAL(109,FY26_LE_Data_March20[FY24 Classified FTE: Library Paraprofessionals])</f>
        <v>645.17200000000014</v>
      </c>
      <c r="ER167" s="39">
        <f>SUBTOTAL(109,FY26_LE_Data_March20[FY24 Classified FTE: School Support])</f>
        <v>2781.0749999999985</v>
      </c>
      <c r="ES167" s="39">
        <f>SUBTOTAL(109,FY26_LE_Data_March20[FY24 Classified FTE: Student Support])</f>
        <v>1877.8640000000007</v>
      </c>
      <c r="ET167" s="39">
        <f>SUBTOTAL(109,FY26_LE_Data_March20[FY24 Classified FTE: Other Support Staff])</f>
        <v>9228.7010000000046</v>
      </c>
      <c r="EU167" s="39">
        <f>SUBTOTAL(109,FY26_LE_Data_March20[FY24 Classified FTE: All Qualifying FTE])</f>
        <v>27056.674000000006</v>
      </c>
    </row>
    <row r="168" spans="1:151" x14ac:dyDescent="0.3">
      <c r="BS168" s="37"/>
      <c r="BT168" s="37"/>
      <c r="CV168" s="37"/>
      <c r="CW168" s="37"/>
      <c r="CX168" s="37"/>
      <c r="CY168" s="37"/>
      <c r="CZ168" s="37"/>
      <c r="DA168" s="37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9"/>
      <c r="DW168" s="39"/>
      <c r="DX168" s="39"/>
      <c r="DY168" s="39"/>
      <c r="DZ168" s="39"/>
      <c r="EA168" s="39"/>
      <c r="EB168" s="39"/>
    </row>
    <row r="169" spans="1:151" x14ac:dyDescent="0.3">
      <c r="D169" s="24" t="s">
        <v>272</v>
      </c>
      <c r="G169" s="39">
        <f>SUMIF(FY26_LE_Data_March20[[Type]:[Type]],$D$169,FY26_LE_Data_March20[FY22ADM - SPED Resource])</f>
        <v>10179.966666666665</v>
      </c>
      <c r="H169" s="39">
        <f>SUMIF(FY26_LE_Data_March20[[Type]:[Type]],$D$169,FY26_LE_Data_March20[FY22ADM - SPED Self-Contained])</f>
        <v>1051.0055555555555</v>
      </c>
      <c r="I169" s="39">
        <f>SUMIF(FY26_LE_Data_March20[[Type]:[Type]],$D$169,FY26_LE_Data_March20[Oct 1, 2022 - K])</f>
        <v>7348</v>
      </c>
      <c r="J169" s="39">
        <f>SUMIF(FY26_LE_Data_March20[[Type]:[Type]],$D$169,FY26_LE_Data_March20[Oct 1, 2022 - Grades 1-6])</f>
        <v>42630</v>
      </c>
      <c r="K169" s="39">
        <f>SUMIF(FY26_LE_Data_March20[[Type]:[Type]],$D$169,FY26_LE_Data_March20[Oct 1, 2022 - Grades 7-8])</f>
        <v>11856</v>
      </c>
      <c r="L169" s="39">
        <f>SUMIF(FY26_LE_Data_March20[[Type]:[Type]],$D$169,FY26_LE_Data_March20[Oct 1, 2022 - Grades 9-12])</f>
        <v>16927</v>
      </c>
      <c r="M169" s="39">
        <f>SUMIF(FY26_LE_Data_March20[[Type]:[Type]],$D$169,FY26_LE_Data_March20[Oct 1, 2022 - Grades K-12])</f>
        <v>78761</v>
      </c>
      <c r="N169" s="39">
        <f>SUMIF(FY26_LE_Data_March20[[Type]:[Type]],$D$169,FY26_LE_Data_March20[Oct 1, 2022 - Grades 1-12])</f>
        <v>71413</v>
      </c>
      <c r="O169" s="39">
        <f>SUMIF(FY26_LE_Data_March20[[Type]:[Type]],$D$169,FY26_LE_Data_March20[Oct 1, 2022 - Grades K-8])</f>
        <v>61834</v>
      </c>
      <c r="P169" s="39">
        <f>SUMIF(FY26_LE_Data_March20[[Type]:[Type]],$D$169,FY26_LE_Data_March20[Oct 1, 2022 - Self-Contained])</f>
        <v>1037</v>
      </c>
      <c r="Q169" s="39">
        <f>SUMIF(FY26_LE_Data_March20[[Type]:[Type]],$D$169,FY26_LE_Data_March20[FY23 ADM - K])</f>
        <v>7216.5388888888883</v>
      </c>
      <c r="R169" s="39">
        <f>SUMIF(FY26_LE_Data_March20[[Type]:[Type]],$D$169,FY26_LE_Data_March20[FY23 ADM - Grade 1])</f>
        <v>7116.5777777777794</v>
      </c>
      <c r="S169" s="39">
        <f>SUMIF(FY26_LE_Data_March20[[Type]:[Type]],$D$169,FY26_LE_Data_March20[FY23 ADM - Grade 2])</f>
        <v>7179.7444444444445</v>
      </c>
      <c r="T169" s="39">
        <f>SUMIF(FY26_LE_Data_March20[[Type]:[Type]],$D$169,FY26_LE_Data_March20[FY23 ADM - Grade 3])</f>
        <v>7023.0722222222248</v>
      </c>
      <c r="U169" s="39">
        <f>SUMIF(FY26_LE_Data_March20[[Type]:[Type]],$D$169,FY26_LE_Data_March20[FY23 ADM - Grade 4])</f>
        <v>6959.3444444444449</v>
      </c>
      <c r="V169" s="39">
        <f>SUMIF(FY26_LE_Data_March20[[Type]:[Type]],$D$169,FY26_LE_Data_March20[FY23 ADM - Grade 5])</f>
        <v>6620.1944444444407</v>
      </c>
      <c r="W169" s="39">
        <f>SUMIF(FY26_LE_Data_March20[[Type]:[Type]],$D$169,FY26_LE_Data_March20[FY23 ADM - Grade 6])</f>
        <v>6729.7388888888891</v>
      </c>
      <c r="X169" s="39">
        <f>SUMIF(FY26_LE_Data_March20[[Type]:[Type]],$D$169,FY26_LE_Data_March20[FY23 ADM - Grade 7])</f>
        <v>5894.5444444444456</v>
      </c>
      <c r="Y169" s="39">
        <f>SUMIF(FY26_LE_Data_March20[[Type]:[Type]],$D$169,FY26_LE_Data_March20[FY23 ADM - Grade 8])</f>
        <v>5708.1055555555567</v>
      </c>
      <c r="Z169" s="39">
        <f>SUMIF(FY26_LE_Data_March20[[Type]:[Type]],$D$169,FY26_LE_Data_March20[FY23 ADM - Grade 9])</f>
        <v>4899.477777777779</v>
      </c>
      <c r="AA169" s="39">
        <f>SUMIF(FY26_LE_Data_March20[[Type]:[Type]],$D$169,FY26_LE_Data_March20[FY23 ADM - Grade 10])</f>
        <v>4136.6166666666668</v>
      </c>
      <c r="AB169" s="39">
        <f>SUMIF(FY26_LE_Data_March20[[Type]:[Type]],$D$169,FY26_LE_Data_March20[FY23 ADM - Grade 11])</f>
        <v>3937.1277777777782</v>
      </c>
      <c r="AC169" s="39">
        <f>SUMIF(FY26_LE_Data_March20[[Type]:[Type]],$D$169,FY26_LE_Data_March20[FY23 ADM - Grade 12])</f>
        <v>3373.8500000000008</v>
      </c>
      <c r="AD169" s="39">
        <f>SUMIF(FY26_LE_Data_March20[[Type]:[Type]],$D$169,FY26_LE_Data_March20[FY23 ADM - Grades 1-6])</f>
        <v>41628.672222222216</v>
      </c>
      <c r="AE169" s="39">
        <f>SUMIF(FY26_LE_Data_March20[[Type]:[Type]],$D$169,FY26_LE_Data_March20[FY23 ADM - Grades 7-8])</f>
        <v>11602.649999999996</v>
      </c>
      <c r="AF169" s="39">
        <f>SUMIF(FY26_LE_Data_March20[[Type]:[Type]],$D$169,FY26_LE_Data_March20[FY23 ADM - Grades 9-12])</f>
        <v>16347.072222222219</v>
      </c>
      <c r="AG169" s="39">
        <f>SUMIF(FY26_LE_Data_March20[[Type]:[Type]],$D$169,FY26_LE_Data_March20[FY23 ADM - Grades K-8])</f>
        <v>60447.861111111102</v>
      </c>
      <c r="AH169" s="39">
        <f>SUMIF(FY26_LE_Data_March20[[Type]:[Type]],$D$169,FY26_LE_Data_March20[FY23 ADM - Grades 1-12])</f>
        <v>69578.39444444445</v>
      </c>
      <c r="AI169" s="39">
        <f>SUMIF(FY26_LE_Data_March20[[Type]:[Type]],$D$169,FY26_LE_Data_March20[FY23 ADM - Grades K-12])</f>
        <v>76794.933333333378</v>
      </c>
      <c r="AJ169" s="39">
        <f>SUMIF(FY26_LE_Data_March20[[Type]:[Type]],$D$169,FY26_LE_Data_March20[FY23ADM - SPED Resource])</f>
        <v>10787.011111111111</v>
      </c>
      <c r="AK169" s="39">
        <f>SUMIF(FY26_LE_Data_March20[[Type]:[Type]],$D$169,FY26_LE_Data_March20[FY23ADM - SPED Self-Contained])</f>
        <v>1023.2666666666665</v>
      </c>
      <c r="AL169" s="39">
        <f>SUMIF(FY26_LE_Data_March20[[Type]:[Type]],$D$169,FY26_LE_Data_March20[FY23ADM - Total SPED])</f>
        <v>11810.277777777772</v>
      </c>
      <c r="AM169" s="39">
        <f>SUMIF(FY26_LE_Data_March20[[Type]:[Type]],$D$169,FY26_LE_Data_March20[Oct. 1, 2023 - K])</f>
        <v>7360</v>
      </c>
      <c r="AN169" s="39">
        <f>SUMIF(FY26_LE_Data_March20[[Type]:[Type]],$D$169,FY26_LE_Data_March20[Oct. 1, 2023 - Grade 1])</f>
        <v>7447</v>
      </c>
      <c r="AO169" s="39">
        <f>SUMIF(FY26_LE_Data_March20[[Type]:[Type]],$D$169,FY26_LE_Data_March20[Oct. 1, 2023 - Grade 2])</f>
        <v>7316</v>
      </c>
      <c r="AP169" s="39">
        <f>SUMIF(FY26_LE_Data_March20[[Type]:[Type]],$D$169,FY26_LE_Data_March20[Oct. 1, 2023 - Grade 3])</f>
        <v>7374</v>
      </c>
      <c r="AQ169" s="39">
        <f>SUMIF(FY26_LE_Data_March20[[Type]:[Type]],$D$169,FY26_LE_Data_March20[Oct. 1, 2023 - Grade 4])</f>
        <v>7220</v>
      </c>
      <c r="AR169" s="39">
        <f>SUMIF(FY26_LE_Data_March20[[Type]:[Type]],$D$169,FY26_LE_Data_March20[Oct. 1, 2023 - Grade 5])</f>
        <v>7270</v>
      </c>
      <c r="AS169" s="39">
        <f>SUMIF(FY26_LE_Data_March20[[Type]:[Type]],$D$169,FY26_LE_Data_March20[Oct. 1, 2023 - Grade 6])</f>
        <v>6795</v>
      </c>
      <c r="AT169" s="39">
        <f>SUMIF(FY26_LE_Data_March20[[Type]:[Type]],$D$169,FY26_LE_Data_March20[Oct. 1, 2023 - Grade 7])</f>
        <v>6152</v>
      </c>
      <c r="AU169" s="39">
        <f>SUMIF(FY26_LE_Data_March20[[Type]:[Type]],$D$169,FY26_LE_Data_March20[Oct. 1, 2023 - Grade 8])</f>
        <v>5870</v>
      </c>
      <c r="AV169" s="39">
        <f>SUMIF(FY26_LE_Data_March20[[Type]:[Type]],$D$169,FY26_LE_Data_March20[Oct. 1, 2023 - Grade 9])</f>
        <v>4999</v>
      </c>
      <c r="AW169" s="39">
        <f>SUMIF(FY26_LE_Data_March20[[Type]:[Type]],$D$169,FY26_LE_Data_March20[Oct. 1, 2023 - Grade 10])</f>
        <v>4278</v>
      </c>
      <c r="AX169" s="39">
        <f>SUMIF(FY26_LE_Data_March20[[Type]:[Type]],$D$169,FY26_LE_Data_March20[Oct. 1, 2023 - Grade 11])</f>
        <v>4047</v>
      </c>
      <c r="AY169" s="39">
        <f>SUMIF(FY26_LE_Data_March20[[Type]:[Type]],$D$169,FY26_LE_Data_March20[Oct. 1, 2023 - Grade 12])</f>
        <v>3695</v>
      </c>
      <c r="AZ169" s="39">
        <f>SUMIF(FY26_LE_Data_March20[[Type]:[Type]],$D$169,FY26_LE_Data_March20[Oct. 1, 2023 - Grades 1-6])</f>
        <v>43422</v>
      </c>
      <c r="BA169" s="39">
        <f>SUMIF(FY26_LE_Data_March20[[Type]:[Type]],$D$169,FY26_LE_Data_March20[Oct. 1, 2023 - Grades 7-8])</f>
        <v>12022</v>
      </c>
      <c r="BB169" s="39">
        <f>SUMIF(FY26_LE_Data_March20[[Type]:[Type]],$D$169,FY26_LE_Data_March20[Oct. 1, 2023 - Grades 9-12])</f>
        <v>17019</v>
      </c>
      <c r="BC169" s="39">
        <f>SUMIF(FY26_LE_Data_March20[[Type]:[Type]],$D$169,FY26_LE_Data_March20[Oct. 1, 2023 - Grades K-8])</f>
        <v>62804</v>
      </c>
      <c r="BD169" s="39">
        <f>SUMIF(FY26_LE_Data_March20[[Type]:[Type]],$D$169,FY26_LE_Data_March20[Oct. 1, 2023 - Grades 1-12])</f>
        <v>72463</v>
      </c>
      <c r="BE169" s="39">
        <f>SUMIF(FY26_LE_Data_March20[[Type]:[Type]],$D$169,FY26_LE_Data_March20[Oct. 1, 2023 - Grades K-12])</f>
        <v>79823</v>
      </c>
      <c r="BF169" s="39">
        <f>SUMIF(FY26_LE_Data_March20[[Type]:[Type]],$D$169,FY26_LE_Data_March20[Oct. 1, 2023 - FDK Counts])</f>
        <v>5217</v>
      </c>
      <c r="BG169" s="39">
        <f>SUMIF(FY26_LE_Data_March20[[Type]:[Type]],$D$169,FY26_LE_Data_March20[Oct. 1, 2023 - HDK Counts])</f>
        <v>2143</v>
      </c>
      <c r="BH169" s="39">
        <f>SUMIF(FY26_LE_Data_March20[[Type]:[Type]],$D$169,FY26_LE_Data_March20[Oct. 1, 2023 - Foreign Exchange])</f>
        <v>34</v>
      </c>
      <c r="BI169" s="39">
        <f>SUMIF(FY26_LE_Data_March20[[Type]:[Type]],$D$169,FY26_LE_Data_March20[Oct. 1, 2023 - Econ. Disadv.])</f>
        <v>23166</v>
      </c>
      <c r="BJ169" s="39">
        <f>SUMIF(FY26_LE_Data_March20[[Type]:[Type]],$D$169,FY26_LE_Data_March20[Oct. 1, 2023 - SPED Resource])</f>
        <v>11026</v>
      </c>
      <c r="BK169" s="39">
        <f>SUMIF(FY26_LE_Data_March20[[Type]:[Type]],$D$169,FY26_LE_Data_March20[Oct. 1, 2023 - SPED Self-Contained])</f>
        <v>973</v>
      </c>
      <c r="BL169" s="39">
        <f>SUMIF(FY26_LE_Data_March20[[Type]:[Type]],$D$169,FY26_LE_Data_March20[Oct. 1, 2023 - Total SPED])</f>
        <v>11999</v>
      </c>
      <c r="BM169" s="39">
        <f>SUMIF(FY26_LE_Data_March20[[Type]:[Type]],$D$169,FY26_LE_Data_March20[Oct. 1, 2023 - LEP])</f>
        <v>7257</v>
      </c>
      <c r="BN169" s="39">
        <f>SUMIF(FY26_LE_Data_March20[[Type]:[Type]],$D$169,FY26_LE_Data_March20[Prostaff Ratios])</f>
        <v>8.2306861305669496</v>
      </c>
      <c r="BO169" s="39">
        <f>SUMIF(FY26_LE_Data_March20[[Type]:[Type]],$D$169,FY26_LE_Data_March20[ESA - All - FY24])</f>
        <v>4921.9349999999995</v>
      </c>
      <c r="BP169" s="39">
        <f>SUMIF(FY26_LE_Data_March20[[Type]:[Type]],$D$169,FY26_LE_Data_March20[ESA - Educators Only - FY24])</f>
        <v>4689.0440000000008</v>
      </c>
      <c r="BQ169" s="39">
        <f>SUMIF(FY26_LE_Data_March20[[Type]:[Type]],$D$169,FY26_LE_Data_March20[TSM FTE - FY24])</f>
        <v>4543.1615000000002</v>
      </c>
      <c r="BR169" s="39">
        <f>SUMIF(FY26_LE_Data_March20[[Type]:[Type]],$D$169,FY26_LE_Data_March20[Educ. Prof. Hrs. FTE - FY24])</f>
        <v>5015.1705000000002</v>
      </c>
      <c r="BS169" s="37">
        <f>SUMIF(FY26_LE_Data_March20[[Type]:[Type]],$D$169,FY26_LE_Data_March20[Oct 1 2020 Counts - Online Students &gt;180 Days ])</f>
        <v>4524</v>
      </c>
      <c r="BT169" s="37">
        <f>SUMIF(FY26_LE_Data_March20[[Type]:[Type]],$D$169,FY26_LE_Data_March20[Oct 1 2023 Counts - Online Students &gt;180 Days in FY2023/Still Online on Oct 1])</f>
        <v>2711</v>
      </c>
      <c r="BU169" s="39">
        <f>SUMIF(FY26_LE_Data_March20[[Type]:[Type]],$D$169,FY26_LE_Data_March20[FY23 ADM - Online Students &gt;180 Days ])</f>
        <v>3832.3333309999998</v>
      </c>
      <c r="BV169" s="39">
        <f>SUMIF(FY26_LE_Data_March20[[Type]:[Type]],$D$169,FY26_LE_Data_March20[FY24 ADM - Half Day K])</f>
        <v>1993.6944190000004</v>
      </c>
      <c r="BW169" s="39">
        <f>SUMIF(FY26_LE_Data_March20[[Type]:[Type]],$D$169,FY26_LE_Data_March20[FY24 ADM - Full Day K])</f>
        <v>5219.9999669999997</v>
      </c>
      <c r="BX169" s="39">
        <f>SUMIF(FY26_LE_Data_March20[[Type]:[Type]],$D$169,FY26_LE_Data_March20[FY24 ADM - Total K])</f>
        <v>7213.6944444444443</v>
      </c>
      <c r="BY169" s="39">
        <f>SUMIF(FY26_LE_Data_March20[[Type]:[Type]],$D$169,FY26_LE_Data_March20[FY24 ADM - Grade 1])</f>
        <v>7298.3722222222214</v>
      </c>
      <c r="BZ169" s="39">
        <f>SUMIF(FY26_LE_Data_March20[[Type]:[Type]],$D$169,FY26_LE_Data_March20[FY24 ADM - Grade 2])</f>
        <v>7148.333333333333</v>
      </c>
      <c r="CA169" s="39">
        <f>SUMIF(FY26_LE_Data_March20[[Type]:[Type]],$D$169,FY26_LE_Data_March20[FY24 ADM - Grade 3])</f>
        <v>7209.3</v>
      </c>
      <c r="CB169" s="39">
        <f>SUMIF(FY26_LE_Data_March20[[Type]:[Type]],$D$169,FY26_LE_Data_March20[FY24 ADM - Grade 4])</f>
        <v>7069.8055555555575</v>
      </c>
      <c r="CC169" s="39">
        <f>SUMIF(FY26_LE_Data_March20[[Type]:[Type]],$D$169,FY26_LE_Data_March20[FY24 ADM - Grade 5])</f>
        <v>7107.3000000000011</v>
      </c>
      <c r="CD169" s="39">
        <f>SUMIF(FY26_LE_Data_March20[[Type]:[Type]],$D$169,FY26_LE_Data_March20[FY24 ADM - Grade 6])</f>
        <v>6648.8333333333303</v>
      </c>
      <c r="CE169" s="39">
        <f>SUMIF(FY26_LE_Data_March20[[Type]:[Type]],$D$169,FY26_LE_Data_March20[FY24 ADM - Grade 7])</f>
        <v>6043.5277777777783</v>
      </c>
      <c r="CF169" s="39">
        <f>SUMIF(FY26_LE_Data_March20[[Type]:[Type]],$D$169,FY26_LE_Data_March20[FY24 ADM - Grade 8])</f>
        <v>5739.3833333333341</v>
      </c>
      <c r="CG169" s="39">
        <f>SUMIF(FY26_LE_Data_March20[[Type]:[Type]],$D$169,FY26_LE_Data_March20[FY24 ADM - Grade 9])</f>
        <v>4896.2166666666635</v>
      </c>
      <c r="CH169" s="39">
        <f>SUMIF(FY26_LE_Data_March20[[Type]:[Type]],$D$169,FY26_LE_Data_March20[FY24 ADM - Grade 10])</f>
        <v>4160.6277777777786</v>
      </c>
      <c r="CI169" s="39">
        <f>SUMIF(FY26_LE_Data_March20[[Type]:[Type]],$D$169,FY26_LE_Data_March20[FY24 ADM - Grade 11])</f>
        <v>3902.1944444444448</v>
      </c>
      <c r="CJ169" s="39">
        <f>SUMIF(FY26_LE_Data_March20[[Type]:[Type]],$D$169,FY26_LE_Data_March20[FY24 ADM - Grade 12])</f>
        <v>3508.4888888888891</v>
      </c>
      <c r="CK169" s="39">
        <f>SUMIF(FY26_LE_Data_March20[[Type]:[Type]],$D$169,FY26_LE_Data_March20[FY24 ADM - Grades 1-6])</f>
        <v>42481.944444444438</v>
      </c>
      <c r="CL169" s="39">
        <f>SUMIF(FY26_LE_Data_March20[[Type]:[Type]],$D$169,FY26_LE_Data_March20[FY24 ADM - Grades 7-8])</f>
        <v>11782.911111111116</v>
      </c>
      <c r="CM169" s="39">
        <f>SUMIF(FY26_LE_Data_March20[[Type]:[Type]],$D$169,FY26_LE_Data_March20[FY24 ADM - Grades 9-12])</f>
        <v>16467.527777777777</v>
      </c>
      <c r="CN169" s="39">
        <f>SUMIF(FY26_LE_Data_March20[[Type]:[Type]],$D$169,FY26_LE_Data_March20[FY24 ADM - Grades K-8])</f>
        <v>61478.550000000025</v>
      </c>
      <c r="CO169" s="39">
        <f>SUMIF(FY26_LE_Data_March20[[Type]:[Type]],$D$169,FY26_LE_Data_March20[FY24 ADM - Grades 1-12])</f>
        <v>70732.383333333317</v>
      </c>
      <c r="CP169" s="39">
        <f>SUMIF(FY26_LE_Data_March20[[Type]:[Type]],$D$169,FY26_LE_Data_March20[FY24 ADM - Grades K-12])</f>
        <v>77946.077777777813</v>
      </c>
      <c r="CQ169" s="39">
        <f>SUMIF(FY26_LE_Data_March20[[Type]:[Type]],$D$169,FY26_LE_Data_March20[FY24 ADM - SPED Resource])</f>
        <v>11402.005555555555</v>
      </c>
      <c r="CR169" s="39">
        <f>SUMIF(FY26_LE_Data_March20[[Type]:[Type]],$D$169,FY26_LE_Data_March20[FY24 ADM - SPED Self-Contained])</f>
        <v>895.21666666666579</v>
      </c>
      <c r="CS169" s="39">
        <f>SUMIF(FY26_LE_Data_March20[[Type]:[Type]],$D$169,FY26_LE_Data_March20[FY24 ADM - Total SPED])</f>
        <v>12297.222222222223</v>
      </c>
      <c r="CT169" s="39">
        <f>SUMIF(FY26_LE_Data_March20[[Type]:[Type]],$D$169,FY26_LE_Data_March20[FY24 ADM - Online Students - Online All 180 Days])</f>
        <v>3944.1833299999998</v>
      </c>
      <c r="CU169" s="39">
        <f>SUMIF(FY26_LE_Data_March20[[Type]:[Type]],$D$169,FY26_LE_Data_March20[Oct. 1, 2024 - FDK])</f>
        <v>6415</v>
      </c>
      <c r="CV169" s="37">
        <f>SUMIF(FY26_LE_Data_March20[[Type]:[Type]],$D$169,FY26_LE_Data_March20[Oct. 1, 2024 - HDK])</f>
        <v>1219</v>
      </c>
      <c r="CW169" s="37">
        <f>SUMIF(FY26_LE_Data_March20[[Type]:[Type]],$D$169,FY26_LE_Data_March20[Oct. 1, 2024 - Total K])</f>
        <v>7634</v>
      </c>
      <c r="CX169" s="37">
        <f>SUMIF(FY26_LE_Data_March20[[Type]:[Type]],$D$169,FY26_LE_Data_March20[Oct. 1, 2024 - Grade 1])</f>
        <v>7587</v>
      </c>
      <c r="CY169" s="37">
        <f>SUMIF(FY26_LE_Data_March20[[Type]:[Type]],$D$169,FY26_LE_Data_March20[Oct. 1, 2024 - Grade 2])</f>
        <v>7648</v>
      </c>
      <c r="CZ169" s="37">
        <f>SUMIF(FY26_LE_Data_March20[[Type]:[Type]],$D$169,FY26_LE_Data_March20[Oct. 1, 2024 - Grade 3])</f>
        <v>7443</v>
      </c>
      <c r="DA169" s="37">
        <f>SUMIF(FY26_LE_Data_March20[[Type]:[Type]],$D$169,FY26_LE_Data_March20[Oct. 1, 2024 - Grade 4])</f>
        <v>7440</v>
      </c>
      <c r="DB169" s="37">
        <f>SUMIF(FY26_LE_Data_March20[[Type]:[Type]],$D$169,FY26_LE_Data_March20[Oct. 1, 2024 - Grade 5])</f>
        <v>7387</v>
      </c>
      <c r="DC169" s="37">
        <f>SUMIF(FY26_LE_Data_March20[[Type]:[Type]],$D$169,FY26_LE_Data_March20[Oct. 1, 2024 - Grade 6])</f>
        <v>7309</v>
      </c>
      <c r="DD169" s="37">
        <f>SUMIF(FY26_LE_Data_March20[[Type]:[Type]],$D$169,FY26_LE_Data_March20[Oct. 1, 2024 - Grade 7])</f>
        <v>6169</v>
      </c>
      <c r="DE169" s="37">
        <f>SUMIF(FY26_LE_Data_March20[[Type]:[Type]],$D$169,FY26_LE_Data_March20[Oct. 1, 2024 - Grade 8])</f>
        <v>6102</v>
      </c>
      <c r="DF169" s="37">
        <f>SUMIF(FY26_LE_Data_March20[[Type]:[Type]],$D$169,FY26_LE_Data_March20[Oct. 1, 2024 - Grade 9])</f>
        <v>5101</v>
      </c>
      <c r="DG169" s="37">
        <f>SUMIF(FY26_LE_Data_March20[[Type]:[Type]],$D$169,FY26_LE_Data_March20[Oct. 1, 2024 - Grade 10])</f>
        <v>4239</v>
      </c>
      <c r="DH169" s="37">
        <f>SUMIF(FY26_LE_Data_March20[[Type]:[Type]],$D$169,FY26_LE_Data_March20[Oct. 1, 2024 - Grade 11])</f>
        <v>4163</v>
      </c>
      <c r="DI169" s="37">
        <f>SUMIF(FY26_LE_Data_March20[[Type]:[Type]],$D$169,FY26_LE_Data_March20[Oct. 1, 2024 - Grade 12])</f>
        <v>3633</v>
      </c>
      <c r="DJ169" s="37">
        <f>SUMIF(FY26_LE_Data_March20[[Type]:[Type]],$D$169,FY26_LE_Data_March20[Oct. 1, 2024 - Grades 1-6])</f>
        <v>44814</v>
      </c>
      <c r="DK169" s="37">
        <f>SUMIF(FY26_LE_Data_March20[[Type]:[Type]],$D$169,FY26_LE_Data_March20[Oct. 1, 2024 - Grades 7-8])</f>
        <v>12271</v>
      </c>
      <c r="DL169" s="37">
        <f>SUMIF(FY26_LE_Data_March20[[Type]:[Type]],$D$169,FY26_LE_Data_March20[Oct. 1, 2024 - Grades 9-12])</f>
        <v>17136</v>
      </c>
      <c r="DM169" s="37">
        <f>SUMIF(FY26_LE_Data_March20[[Type]:[Type]],$D$169,FY26_LE_Data_March20[Oct. 1, 2024 - Grades K-8])</f>
        <v>64719</v>
      </c>
      <c r="DN169" s="37">
        <f>SUMIF(FY26_LE_Data_March20[[Type]:[Type]],$D$169,FY26_LE_Data_March20[Oct. 1, 2024 - Grades 1-12])</f>
        <v>74221</v>
      </c>
      <c r="DO169" s="37">
        <f>SUMIF(FY26_LE_Data_March20[[Type]:[Type]],$D$169,FY26_LE_Data_March20[Oct. 1, 2024 - Grades K-12])</f>
        <v>81855</v>
      </c>
      <c r="DP169" s="37">
        <f>SUMIF(FY26_LE_Data_March20[[Type]:[Type]],$D$169,FY26_LE_Data_March20[Oct. 1, 2024 - Foreign Exchange])</f>
        <v>53</v>
      </c>
      <c r="DQ169" s="37">
        <f>SUMIF(FY26_LE_Data_March20[[Type]:[Type]],$D$169,FY26_LE_Data_March20[Oct. 1, 2024 - Econ. Disadv.])</f>
        <v>22942</v>
      </c>
      <c r="DR169" s="37">
        <f>SUMIF(FY26_LE_Data_March20[[Type]:[Type]],$D$169,FY26_LE_Data_March20[Oct. 1, 2024 - SPED Resource])</f>
        <v>11471</v>
      </c>
      <c r="DS169" s="37">
        <f>SUMIF(FY26_LE_Data_March20[[Type]:[Type]],$D$169,FY26_LE_Data_March20[Oct. 1, 2024 - SPED Self-Contained])</f>
        <v>919</v>
      </c>
      <c r="DT169" s="37">
        <f>SUMIF(FY26_LE_Data_March20[[Type]:[Type]],$D$169,FY26_LE_Data_March20[Oct. 1, 2024 - Total SPED])</f>
        <v>12390</v>
      </c>
      <c r="DU169" s="37">
        <f>SUMIF(FY26_LE_Data_March20[[Type]:[Type]],$D$169,FY26_LE_Data_March20[Oct. 1, 2024 - LEP])</f>
        <v>7709</v>
      </c>
      <c r="DV169" s="39">
        <f>SUMIF(FY26_LE_Data_March20[[Type]:[Type]],$D$169,FY26_LE_Data_March20[ESA - All - FY25])</f>
        <v>5147.6652999999988</v>
      </c>
      <c r="DW169" s="39">
        <f>SUMIF(FY26_LE_Data_March20[[Type]:[Type]],$D$169,FY26_LE_Data_March20[ESA - Educators Only - FY25])</f>
        <v>4897.8598000000002</v>
      </c>
      <c r="DX169" s="39">
        <f>SUMIF(FY26_LE_Data_March20[[Type]:[Type]],$D$169,FY26_LE_Data_March20[TSM FTE - Elementary - FY25])</f>
        <v>2502.6349999999998</v>
      </c>
      <c r="DY169" s="39">
        <f>SUMIF(FY26_LE_Data_March20[[Type]:[Type]],$D$169,FY26_LE_Data_March20[TSM FTE - Secondary - FY25])</f>
        <v>1799.749</v>
      </c>
      <c r="DZ169" s="39">
        <f>SUMIF(FY26_LE_Data_March20[[Type]:[Type]],$D$169,FY26_LE_Data_March20[TSM FTE - Reg. Pre-K - FY25])</f>
        <v>1.6</v>
      </c>
      <c r="EA169" s="39">
        <f>SUMIF(FY26_LE_Data_March20[[Type]:[Type]],$D$169,FY26_LE_Data_March20[Educ. Prof. Hrs. FTE - FY25])</f>
        <v>5309.302499999998</v>
      </c>
      <c r="EB169" s="39">
        <f>SUMIF(FY26_LE_Data_March20[[Type]:[Type]],$D$169,FY26_LE_Data_March20[ProStaff Ratios - FY24 YE])</f>
        <v>8.143420342018846</v>
      </c>
      <c r="EC169" s="37">
        <f>SUMIF(FY26_LE_Data_March20[[Type]:[Type]],$D$169,FY26_LE_Data_March20[Oct 1 2024 Counts - Online Students &gt;=180 Days in FY2024/Still Online on Oct 1])</f>
        <v>0</v>
      </c>
      <c r="ED169" s="37">
        <f>SUMIF(FY26_LE_Data_March20[[Type]:[Type]],$D$169,FY26_LE_Data_March20[Oct 1, 2025 (CDC) - K])</f>
        <v>7606</v>
      </c>
      <c r="EE169" s="37">
        <f>SUMIF(FY26_LE_Data_March20[[Type]:[Type]],$D$169,FY26_LE_Data_March20[Oct 1, 2025 (CDC) - Grades 1-12])</f>
        <v>75886</v>
      </c>
      <c r="EF169" s="37">
        <f>SUMIF(FY26_LE_Data_March20[[Type]:[Type]],$D$169,FY26_LE_Data_March20[Oct 1, 2025 (CDC) - Grades 1-6])</f>
        <v>46076</v>
      </c>
      <c r="EG169" s="37">
        <f>SUMIF(FY26_LE_Data_March20[[Type]:[Type]],$D$169,FY26_LE_Data_March20[Oct 1, 2025 (CDC) - Grades 7-8])</f>
        <v>12426</v>
      </c>
      <c r="EH169" s="37">
        <f>SUMIF(FY26_LE_Data_March20[[Type]:[Type]],$D$169,FY26_LE_Data_March20[Oct 1, 2025 (CDC) - Grades 9-12])</f>
        <v>17384</v>
      </c>
      <c r="EI169" s="37">
        <f>SUMIF(FY26_LE_Data_March20[[Type]:[Type]],$D$169,FY26_LE_Data_March20[Oct 1, 2025 (CDC) - Grades K-12])</f>
        <v>83492</v>
      </c>
      <c r="EJ169" s="37">
        <f>SUMIF(FY26_LE_Data_March20[[Type]:[Type]],$D$169,FY26_LE_Data_March20[December 1, 2025 - SPED Pre-K 3-5 Count])</f>
        <v>1</v>
      </c>
      <c r="EK169" s="37">
        <f>SUMIF(FY26_LE_Data_March20[[Type]:[Type]],$D$169,FY26_LE_Data_March20[December 1, 2025 - SPED K-12])</f>
        <v>12815</v>
      </c>
      <c r="EL169" s="37">
        <f>SUMIF(FY26_LE_Data_March20[[Type]:[Type]],$D$169,FY26_LE_Data_March20[December 1, 2025 - SPED PreK-12 - All Ages])</f>
        <v>12816</v>
      </c>
      <c r="EM169" s="37">
        <f>SUMIF(FY26_LE_Data_March20[[Type]:[Type]],$D$169,FY26_LE_Data_March20[December 1, 2024 - SPED Resource])</f>
        <v>11889</v>
      </c>
      <c r="EN169" s="37">
        <f>SUMIF(FY26_LE_Data_March20[[Type]:[Type]],$D$169,FY26_LE_Data_March20[December 1, 2024 - SPED Self-Contained])</f>
        <v>926</v>
      </c>
      <c r="EO169" s="37">
        <f>SUMIF(FY26_LE_Data_March20[[Type]:[Type]],$D$169,FY26_LE_Data_March20[FY24 ESY Count])</f>
        <v>1115</v>
      </c>
      <c r="EP169" s="37">
        <f>SUMIF(FY26_LE_Data_March20[[Type]:[Type]],$D$169,FY26_LE_Data_March20[FY24 Classified FTE: Instructional Paraprofessionals])</f>
        <v>2259.0769999999989</v>
      </c>
      <c r="EQ169" s="37">
        <f>SUMIF(FY26_LE_Data_March20[[Type]:[Type]],$D$169,FY26_LE_Data_March20[FY24 Classified FTE: Library Paraprofessionals])</f>
        <v>66.65100000000001</v>
      </c>
      <c r="ER169" s="37">
        <f>SUMIF(FY26_LE_Data_March20[[Type]:[Type]],$D$169,FY26_LE_Data_March20[FY24 Classified FTE: School Support])</f>
        <v>474.0870000000001</v>
      </c>
      <c r="ES169" s="37">
        <f>SUMIF(FY26_LE_Data_March20[[Type]:[Type]],$D$169,FY26_LE_Data_March20[FY24 Classified FTE: Student Support])</f>
        <v>225.45400000000001</v>
      </c>
      <c r="ET169" s="37">
        <f>SUMIF(FY26_LE_Data_March20[[Type]:[Type]],$D$169,FY26_LE_Data_March20[FY24 Classified FTE: Other Support Staff])</f>
        <v>628.27900000000011</v>
      </c>
      <c r="EU169" s="37">
        <f>SUMIF(FY26_LE_Data_March20[[Type]:[Type]],$D$169,FY26_LE_Data_March20[FY24 Classified FTE: All Qualifying FTE])</f>
        <v>3653.5479999999984</v>
      </c>
    </row>
    <row r="170" spans="1:151" x14ac:dyDescent="0.3">
      <c r="D170" s="24" t="s">
        <v>261</v>
      </c>
      <c r="G170" s="39">
        <f>SUMIF(FY26_LE_Data_March20[[Type]:[Type]],$D$170,FY26_LE_Data_March20[FY22ADM - SPED Resource])</f>
        <v>60263.338888888873</v>
      </c>
      <c r="H170" s="39">
        <f>SUMIF(FY26_LE_Data_March20[[Type]:[Type]],$D$170,FY26_LE_Data_March20[FY22ADM - SPED Self-Contained])</f>
        <v>10290.177777777775</v>
      </c>
      <c r="I170" s="39">
        <f>SUMIF(FY26_LE_Data_March20[[Type]:[Type]],$D$170,FY26_LE_Data_March20[Oct 1, 2022 - K])</f>
        <v>39316</v>
      </c>
      <c r="J170" s="39">
        <f>SUMIF(FY26_LE_Data_March20[[Type]:[Type]],$D$170,FY26_LE_Data_March20[Oct 1, 2022 - Grades 1-6])</f>
        <v>264502</v>
      </c>
      <c r="K170" s="39">
        <f>SUMIF(FY26_LE_Data_March20[[Type]:[Type]],$D$170,FY26_LE_Data_March20[Oct 1, 2022 - Grades 7-8])</f>
        <v>95295</v>
      </c>
      <c r="L170" s="39">
        <f>SUMIF(FY26_LE_Data_March20[[Type]:[Type]],$D$170,FY26_LE_Data_March20[Oct 1, 2022 - Grades 9-12])</f>
        <v>197786</v>
      </c>
      <c r="M170" s="39">
        <f>SUMIF(FY26_LE_Data_March20[[Type]:[Type]],$D$170,FY26_LE_Data_March20[Oct 1, 2022 - Grades K-12])</f>
        <v>596899</v>
      </c>
      <c r="N170" s="39">
        <f>SUMIF(FY26_LE_Data_March20[[Type]:[Type]],$D$170,FY26_LE_Data_March20[Oct 1, 2022 - Grades 1-12])</f>
        <v>557583</v>
      </c>
      <c r="O170" s="39">
        <f>SUMIF(FY26_LE_Data_March20[[Type]:[Type]],$D$170,FY26_LE_Data_March20[Oct 1, 2022 - Grades K-8])</f>
        <v>399113</v>
      </c>
      <c r="P170" s="39">
        <f>SUMIF(FY26_LE_Data_March20[[Type]:[Type]],$D$170,FY26_LE_Data_March20[Oct 1, 2022 - Self-Contained])</f>
        <v>10335</v>
      </c>
      <c r="Q170" s="39">
        <f>SUMIF(FY26_LE_Data_March20[[Type]:[Type]],$D$170,FY26_LE_Data_March20[FY23 ADM - K])</f>
        <v>38342.255555555559</v>
      </c>
      <c r="R170" s="39">
        <f>SUMIF(FY26_LE_Data_March20[[Type]:[Type]],$D$170,FY26_LE_Data_March20[FY23 ADM - Grade 1])</f>
        <v>42163.844444444454</v>
      </c>
      <c r="S170" s="39">
        <f>SUMIF(FY26_LE_Data_March20[[Type]:[Type]],$D$170,FY26_LE_Data_March20[FY23 ADM - Grade 2])</f>
        <v>42124.133333333339</v>
      </c>
      <c r="T170" s="39">
        <f>SUMIF(FY26_LE_Data_March20[[Type]:[Type]],$D$170,FY26_LE_Data_March20[FY23 ADM - Grade 3])</f>
        <v>42924.477777777764</v>
      </c>
      <c r="U170" s="39">
        <f>SUMIF(FY26_LE_Data_March20[[Type]:[Type]],$D$170,FY26_LE_Data_March20[FY23 ADM - Grade 4])</f>
        <v>43947.461111111123</v>
      </c>
      <c r="V170" s="39">
        <f>SUMIF(FY26_LE_Data_March20[[Type]:[Type]],$D$170,FY26_LE_Data_March20[FY23 ADM - Grade 5])</f>
        <v>43253.083333333328</v>
      </c>
      <c r="W170" s="39">
        <f>SUMIF(FY26_LE_Data_March20[[Type]:[Type]],$D$170,FY26_LE_Data_March20[FY23 ADM - Grade 6])</f>
        <v>44440.366666666669</v>
      </c>
      <c r="X170" s="39">
        <f>SUMIF(FY26_LE_Data_March20[[Type]:[Type]],$D$170,FY26_LE_Data_March20[FY23 ADM - Grade 7])</f>
        <v>45816.866666666661</v>
      </c>
      <c r="Y170" s="39">
        <f>SUMIF(FY26_LE_Data_March20[[Type]:[Type]],$D$170,FY26_LE_Data_March20[FY23 ADM - Grade 8])</f>
        <v>47063.022222222222</v>
      </c>
      <c r="Z170" s="39">
        <f>SUMIF(FY26_LE_Data_March20[[Type]:[Type]],$D$170,FY26_LE_Data_March20[FY23 ADM - Grade 9])</f>
        <v>49251.255555555566</v>
      </c>
      <c r="AA170" s="39">
        <f>SUMIF(FY26_LE_Data_March20[[Type]:[Type]],$D$170,FY26_LE_Data_March20[FY23 ADM - Grade 10])</f>
        <v>49776.888888888912</v>
      </c>
      <c r="AB170" s="39">
        <f>SUMIF(FY26_LE_Data_March20[[Type]:[Type]],$D$170,FY26_LE_Data_March20[FY23 ADM - Grade 11])</f>
        <v>47131.494444444434</v>
      </c>
      <c r="AC170" s="39">
        <f>SUMIF(FY26_LE_Data_March20[[Type]:[Type]],$D$170,FY26_LE_Data_March20[FY23 ADM - Grade 12])</f>
        <v>41250.833333333336</v>
      </c>
      <c r="AD170" s="39">
        <f>SUMIF(FY26_LE_Data_March20[[Type]:[Type]],$D$170,FY26_LE_Data_March20[FY23 ADM - Grades 1-6])</f>
        <v>258853.36666666667</v>
      </c>
      <c r="AE170" s="39">
        <f>SUMIF(FY26_LE_Data_March20[[Type]:[Type]],$D$170,FY26_LE_Data_March20[FY23 ADM - Grades 7-8])</f>
        <v>92879.888888888905</v>
      </c>
      <c r="AF170" s="39">
        <f>SUMIF(FY26_LE_Data_March20[[Type]:[Type]],$D$170,FY26_LE_Data_March20[FY23 ADM - Grades 9-12])</f>
        <v>187410.47222222222</v>
      </c>
      <c r="AG170" s="39">
        <f>SUMIF(FY26_LE_Data_March20[[Type]:[Type]],$D$170,FY26_LE_Data_March20[FY23 ADM - Grades K-8])</f>
        <v>390075.51111111103</v>
      </c>
      <c r="AH170" s="39">
        <f>SUMIF(FY26_LE_Data_March20[[Type]:[Type]],$D$170,FY26_LE_Data_March20[FY23 ADM - Grades 1-12])</f>
        <v>539143.72777777771</v>
      </c>
      <c r="AI170" s="39">
        <f>SUMIF(FY26_LE_Data_March20[[Type]:[Type]],$D$170,FY26_LE_Data_March20[FY23 ADM - Grades K-12])</f>
        <v>577485.9833333334</v>
      </c>
      <c r="AJ170" s="39">
        <f>SUMIF(FY26_LE_Data_March20[[Type]:[Type]],$D$170,FY26_LE_Data_March20[FY23ADM - SPED Resource])</f>
        <v>62407.15</v>
      </c>
      <c r="AK170" s="39">
        <f>SUMIF(FY26_LE_Data_March20[[Type]:[Type]],$D$170,FY26_LE_Data_March20[FY23ADM - SPED Self-Contained])</f>
        <v>10582.627777777778</v>
      </c>
      <c r="AL170" s="39">
        <f>SUMIF(FY26_LE_Data_March20[[Type]:[Type]],$D$170,FY26_LE_Data_March20[FY23ADM - Total SPED])</f>
        <v>72989.777777777781</v>
      </c>
      <c r="AM170" s="39">
        <f>SUMIF(FY26_LE_Data_March20[[Type]:[Type]],$D$170,FY26_LE_Data_March20[Oct. 1, 2023 - K])</f>
        <v>37863</v>
      </c>
      <c r="AN170" s="39">
        <f>SUMIF(FY26_LE_Data_March20[[Type]:[Type]],$D$170,FY26_LE_Data_March20[Oct. 1, 2023 - Grade 1])</f>
        <v>40723</v>
      </c>
      <c r="AO170" s="39">
        <f>SUMIF(FY26_LE_Data_March20[[Type]:[Type]],$D$170,FY26_LE_Data_March20[Oct. 1, 2023 - Grade 2])</f>
        <v>43589</v>
      </c>
      <c r="AP170" s="39">
        <f>SUMIF(FY26_LE_Data_March20[[Type]:[Type]],$D$170,FY26_LE_Data_March20[Oct. 1, 2023 - Grade 3])</f>
        <v>43626</v>
      </c>
      <c r="AQ170" s="39">
        <f>SUMIF(FY26_LE_Data_March20[[Type]:[Type]],$D$170,FY26_LE_Data_March20[Oct. 1, 2023 - Grade 4])</f>
        <v>44196</v>
      </c>
      <c r="AR170" s="39">
        <f>SUMIF(FY26_LE_Data_March20[[Type]:[Type]],$D$170,FY26_LE_Data_March20[Oct. 1, 2023 - Grade 5])</f>
        <v>45312</v>
      </c>
      <c r="AS170" s="39">
        <f>SUMIF(FY26_LE_Data_March20[[Type]:[Type]],$D$170,FY26_LE_Data_March20[Oct. 1, 2023 - Grade 6])</f>
        <v>44667</v>
      </c>
      <c r="AT170" s="39">
        <f>SUMIF(FY26_LE_Data_March20[[Type]:[Type]],$D$170,FY26_LE_Data_March20[Oct. 1, 2023 - Grade 7])</f>
        <v>46812</v>
      </c>
      <c r="AU170" s="39">
        <f>SUMIF(FY26_LE_Data_March20[[Type]:[Type]],$D$170,FY26_LE_Data_March20[Oct. 1, 2023 - Grade 8])</f>
        <v>47467</v>
      </c>
      <c r="AV170" s="39">
        <f>SUMIF(FY26_LE_Data_March20[[Type]:[Type]],$D$170,FY26_LE_Data_March20[Oct. 1, 2023 - Grade 9])</f>
        <v>49545</v>
      </c>
      <c r="AW170" s="39">
        <f>SUMIF(FY26_LE_Data_March20[[Type]:[Type]],$D$170,FY26_LE_Data_March20[Oct. 1, 2023 - Grade 10])</f>
        <v>51423</v>
      </c>
      <c r="AX170" s="39">
        <f>SUMIF(FY26_LE_Data_March20[[Type]:[Type]],$D$170,FY26_LE_Data_March20[Oct. 1, 2023 - Grade 11])</f>
        <v>50526</v>
      </c>
      <c r="AY170" s="39">
        <f>SUMIF(FY26_LE_Data_March20[[Type]:[Type]],$D$170,FY26_LE_Data_March20[Oct. 1, 2023 - Grade 12])</f>
        <v>48201</v>
      </c>
      <c r="AZ170" s="39">
        <f>SUMIF(FY26_LE_Data_March20[[Type]:[Type]],$D$170,FY26_LE_Data_March20[Oct. 1, 2023 - Grades 1-6])</f>
        <v>262113</v>
      </c>
      <c r="BA170" s="39">
        <f>SUMIF(FY26_LE_Data_March20[[Type]:[Type]],$D$170,FY26_LE_Data_March20[Oct. 1, 2023 - Grades 7-8])</f>
        <v>94279</v>
      </c>
      <c r="BB170" s="39">
        <f>SUMIF(FY26_LE_Data_March20[[Type]:[Type]],$D$170,FY26_LE_Data_March20[Oct. 1, 2023 - Grades 9-12])</f>
        <v>199695</v>
      </c>
      <c r="BC170" s="39">
        <f>SUMIF(FY26_LE_Data_March20[[Type]:[Type]],$D$170,FY26_LE_Data_March20[Oct. 1, 2023 - Grades K-8])</f>
        <v>394255</v>
      </c>
      <c r="BD170" s="39">
        <f>SUMIF(FY26_LE_Data_March20[[Type]:[Type]],$D$170,FY26_LE_Data_March20[Oct. 1, 2023 - Grades 1-12])</f>
        <v>556087</v>
      </c>
      <c r="BE170" s="39">
        <f>SUMIF(FY26_LE_Data_March20[[Type]:[Type]],$D$170,FY26_LE_Data_March20[Oct. 1, 2023 - Grades K-12])</f>
        <v>593950</v>
      </c>
      <c r="BF170" s="39">
        <f>SUMIF(FY26_LE_Data_March20[[Type]:[Type]],$D$170,FY26_LE_Data_March20[Oct. 1, 2023 - FDK Counts])</f>
        <v>29661</v>
      </c>
      <c r="BG170" s="39">
        <f>SUMIF(FY26_LE_Data_March20[[Type]:[Type]],$D$170,FY26_LE_Data_March20[Oct. 1, 2023 - HDK Counts])</f>
        <v>8202</v>
      </c>
      <c r="BH170" s="39">
        <f>SUMIF(FY26_LE_Data_March20[[Type]:[Type]],$D$170,FY26_LE_Data_March20[Oct. 1, 2023 - Foreign Exchange])</f>
        <v>319</v>
      </c>
      <c r="BI170" s="39">
        <f>SUMIF(FY26_LE_Data_March20[[Type]:[Type]],$D$170,FY26_LE_Data_March20[Oct. 1, 2023 - Econ. Disadv.])</f>
        <v>182079</v>
      </c>
      <c r="BJ170" s="39">
        <f>SUMIF(FY26_LE_Data_March20[[Type]:[Type]],$D$170,FY26_LE_Data_March20[Oct. 1, 2023 - SPED Resource])</f>
        <v>63533</v>
      </c>
      <c r="BK170" s="39">
        <f>SUMIF(FY26_LE_Data_March20[[Type]:[Type]],$D$170,FY26_LE_Data_March20[Oct. 1, 2023 - SPED Self-Contained])</f>
        <v>10829</v>
      </c>
      <c r="BL170" s="39">
        <f>SUMIF(FY26_LE_Data_March20[[Type]:[Type]],$D$170,FY26_LE_Data_March20[Oct. 1, 2023 - Total SPED])</f>
        <v>74362</v>
      </c>
      <c r="BM170" s="39">
        <f>SUMIF(FY26_LE_Data_March20[[Type]:[Type]],$D$170,FY26_LE_Data_March20[Oct. 1, 2023 - LEP])</f>
        <v>51930</v>
      </c>
      <c r="BN170" s="39">
        <f>SUMIF(FY26_LE_Data_March20[[Type]:[Type]],$D$170,FY26_LE_Data_March20[Prostaff Ratios])</f>
        <v>3.6415312573679484</v>
      </c>
      <c r="BO170" s="39">
        <f>SUMIF(FY26_LE_Data_March20[[Type]:[Type]],$D$170,FY26_LE_Data_March20[ESA - All - FY24])</f>
        <v>33576.673319999994</v>
      </c>
      <c r="BP170" s="39">
        <f>SUMIF(FY26_LE_Data_March20[[Type]:[Type]],$D$170,FY26_LE_Data_March20[ESA - Educators Only - FY24])</f>
        <v>31996.94732000001</v>
      </c>
      <c r="BQ170" s="39">
        <f>SUMIF(FY26_LE_Data_March20[[Type]:[Type]],$D$170,FY26_LE_Data_March20[TSM FTE - FY24])</f>
        <v>29709.273480000003</v>
      </c>
      <c r="BR170" s="39">
        <f>SUMIF(FY26_LE_Data_March20[[Type]:[Type]],$D$170,FY26_LE_Data_March20[Educ. Prof. Hrs. FTE - FY24])</f>
        <v>33123.819380000023</v>
      </c>
      <c r="BS170" s="37">
        <f>SUMIF(FY26_LE_Data_March20[[Type]:[Type]],$D$170,FY26_LE_Data_March20[Oct 1 2020 Counts - Online Students &gt;180 Days ])</f>
        <v>7562</v>
      </c>
      <c r="BT170" s="37">
        <f>SUMIF(FY26_LE_Data_March20[[Type]:[Type]],$D$170,FY26_LE_Data_March20[Oct 1 2023 Counts - Online Students &gt;180 Days in FY2023/Still Online on Oct 1])</f>
        <v>8703</v>
      </c>
      <c r="BU170" s="39">
        <f>SUMIF(FY26_LE_Data_March20[[Type]:[Type]],$D$170,FY26_LE_Data_March20[FY23 ADM - Online Students &gt;180 Days ])</f>
        <v>20292.733325999994</v>
      </c>
      <c r="BV170" s="39">
        <f>SUMIF(FY26_LE_Data_March20[[Type]:[Type]],$D$170,FY26_LE_Data_March20[FY24 ADM - Half Day K])</f>
        <v>7932.477762999999</v>
      </c>
      <c r="BW170" s="39">
        <f>SUMIF(FY26_LE_Data_March20[[Type]:[Type]],$D$170,FY26_LE_Data_March20[FY24 ADM - Full Day K])</f>
        <v>29176.049979999996</v>
      </c>
      <c r="BX170" s="39">
        <f>SUMIF(FY26_LE_Data_March20[[Type]:[Type]],$D$170,FY26_LE_Data_March20[FY24 ADM - Total K])</f>
        <v>37108.527777777774</v>
      </c>
      <c r="BY170" s="39">
        <f>SUMIF(FY26_LE_Data_March20[[Type]:[Type]],$D$170,FY26_LE_Data_March20[FY24 ADM - Grade 1])</f>
        <v>39814.261111111104</v>
      </c>
      <c r="BZ170" s="39">
        <f>SUMIF(FY26_LE_Data_March20[[Type]:[Type]],$D$170,FY26_LE_Data_March20[FY24 ADM - Grade 2])</f>
        <v>42656.255555555566</v>
      </c>
      <c r="CA170" s="39">
        <f>SUMIF(FY26_LE_Data_March20[[Type]:[Type]],$D$170,FY26_LE_Data_March20[FY24 ADM - Grade 3])</f>
        <v>42785.866666666661</v>
      </c>
      <c r="CB170" s="39">
        <f>SUMIF(FY26_LE_Data_March20[[Type]:[Type]],$D$170,FY26_LE_Data_March20[FY24 ADM - Grade 4])</f>
        <v>43346.899999999994</v>
      </c>
      <c r="CC170" s="39">
        <f>SUMIF(FY26_LE_Data_March20[[Type]:[Type]],$D$170,FY26_LE_Data_March20[FY24 ADM - Grade 5])</f>
        <v>44397.338888888888</v>
      </c>
      <c r="CD170" s="39">
        <f>SUMIF(FY26_LE_Data_March20[[Type]:[Type]],$D$170,FY26_LE_Data_March20[FY24 ADM - Grade 6])</f>
        <v>43664.672222222216</v>
      </c>
      <c r="CE170" s="39">
        <f>SUMIF(FY26_LE_Data_March20[[Type]:[Type]],$D$170,FY26_LE_Data_March20[FY24 ADM - Grade 7])</f>
        <v>45676.15</v>
      </c>
      <c r="CF170" s="39">
        <f>SUMIF(FY26_LE_Data_March20[[Type]:[Type]],$D$170,FY26_LE_Data_March20[FY24 ADM - Grade 8])</f>
        <v>46272.905555555561</v>
      </c>
      <c r="CG170" s="39">
        <f>SUMIF(FY26_LE_Data_March20[[Type]:[Type]],$D$170,FY26_LE_Data_March20[FY24 ADM - Grade 9])</f>
        <v>48324.988888888889</v>
      </c>
      <c r="CH170" s="39">
        <f>SUMIF(FY26_LE_Data_March20[[Type]:[Type]],$D$170,FY26_LE_Data_March20[FY24 ADM - Grade 10])</f>
        <v>49998.166666666664</v>
      </c>
      <c r="CI170" s="39">
        <f>SUMIF(FY26_LE_Data_March20[[Type]:[Type]],$D$170,FY26_LE_Data_March20[FY24 ADM - Grade 11])</f>
        <v>48806.805555555562</v>
      </c>
      <c r="CJ170" s="39">
        <f>SUMIF(FY26_LE_Data_March20[[Type]:[Type]],$D$170,FY26_LE_Data_March20[FY24 ADM - Grade 12])</f>
        <v>42143.516666666663</v>
      </c>
      <c r="CK170" s="39">
        <f>SUMIF(FY26_LE_Data_March20[[Type]:[Type]],$D$170,FY26_LE_Data_March20[FY24 ADM - Grades 1-6])</f>
        <v>256665.29444444444</v>
      </c>
      <c r="CL170" s="39">
        <f>SUMIF(FY26_LE_Data_March20[[Type]:[Type]],$D$170,FY26_LE_Data_March20[FY24 ADM - Grades 7-8])</f>
        <v>91949.055555555562</v>
      </c>
      <c r="CM170" s="39">
        <f>SUMIF(FY26_LE_Data_March20[[Type]:[Type]],$D$170,FY26_LE_Data_March20[FY24 ADM - Grades 9-12])</f>
        <v>189273.47777777779</v>
      </c>
      <c r="CN170" s="39">
        <f>SUMIF(FY26_LE_Data_March20[[Type]:[Type]],$D$170,FY26_LE_Data_March20[FY24 ADM - Grades K-8])</f>
        <v>385722.87777777761</v>
      </c>
      <c r="CO170" s="39">
        <f>SUMIF(FY26_LE_Data_March20[[Type]:[Type]],$D$170,FY26_LE_Data_March20[FY24 ADM - Grades 1-12])</f>
        <v>537887.8277777778</v>
      </c>
      <c r="CP170" s="39">
        <f>SUMIF(FY26_LE_Data_March20[[Type]:[Type]],$D$170,FY26_LE_Data_March20[FY24 ADM - Grades K-12])</f>
        <v>574996.35555555532</v>
      </c>
      <c r="CQ170" s="39">
        <f>SUMIF(FY26_LE_Data_March20[[Type]:[Type]],$D$170,FY26_LE_Data_March20[FY24 ADM - SPED Resource])</f>
        <v>64114.205555555549</v>
      </c>
      <c r="CR170" s="39">
        <f>SUMIF(FY26_LE_Data_March20[[Type]:[Type]],$D$170,FY26_LE_Data_March20[FY24 ADM - SPED Self-Contained])</f>
        <v>10795.622222222224</v>
      </c>
      <c r="CS170" s="39">
        <f>SUMIF(FY26_LE_Data_March20[[Type]:[Type]],$D$170,FY26_LE_Data_March20[FY24 ADM - Total SPED])</f>
        <v>74909.827777777769</v>
      </c>
      <c r="CT170" s="39">
        <f>SUMIF(FY26_LE_Data_March20[[Type]:[Type]],$D$170,FY26_LE_Data_March20[FY24 ADM - Online Students - Online All 180 Days])</f>
        <v>18466.094440000001</v>
      </c>
      <c r="CU170" s="39">
        <f>SUMIF(FY26_LE_Data_March20[[Type]:[Type]],$D$170,FY26_LE_Data_March20[Oct. 1, 2024 - FDK])</f>
        <v>34221</v>
      </c>
      <c r="CV170" s="37">
        <f>SUMIF(FY26_LE_Data_March20[[Type]:[Type]],$D$170,FY26_LE_Data_March20[Oct. 1, 2024 - HDK])</f>
        <v>2930</v>
      </c>
      <c r="CW170" s="37">
        <f>SUMIF(FY26_LE_Data_March20[[Type]:[Type]],$D$170,FY26_LE_Data_March20[Oct. 1, 2024 - Total K])</f>
        <v>37151</v>
      </c>
      <c r="CX170" s="37">
        <f>SUMIF(FY26_LE_Data_March20[[Type]:[Type]],$D$170,FY26_LE_Data_March20[Oct. 1, 2024 - Grade 1])</f>
        <v>38756</v>
      </c>
      <c r="CY170" s="37">
        <f>SUMIF(FY26_LE_Data_March20[[Type]:[Type]],$D$170,FY26_LE_Data_March20[Oct. 1, 2024 - Grade 2])</f>
        <v>40893</v>
      </c>
      <c r="CZ170" s="37">
        <f>SUMIF(FY26_LE_Data_March20[[Type]:[Type]],$D$170,FY26_LE_Data_March20[Oct. 1, 2024 - Grade 3])</f>
        <v>43682</v>
      </c>
      <c r="DA170" s="37">
        <f>SUMIF(FY26_LE_Data_March20[[Type]:[Type]],$D$170,FY26_LE_Data_March20[Oct. 1, 2024 - Grade 4])</f>
        <v>43873</v>
      </c>
      <c r="DB170" s="37">
        <f>SUMIF(FY26_LE_Data_March20[[Type]:[Type]],$D$170,FY26_LE_Data_March20[Oct. 1, 2024 - Grade 5])</f>
        <v>44321</v>
      </c>
      <c r="DC170" s="37">
        <f>SUMIF(FY26_LE_Data_March20[[Type]:[Type]],$D$170,FY26_LE_Data_March20[Oct. 1, 2024 - Grade 6])</f>
        <v>45498</v>
      </c>
      <c r="DD170" s="37">
        <f>SUMIF(FY26_LE_Data_March20[[Type]:[Type]],$D$170,FY26_LE_Data_March20[Oct. 1, 2024 - Grade 7])</f>
        <v>45765</v>
      </c>
      <c r="DE170" s="37">
        <f>SUMIF(FY26_LE_Data_March20[[Type]:[Type]],$D$170,FY26_LE_Data_March20[Oct. 1, 2024 - Grade 8])</f>
        <v>47032</v>
      </c>
      <c r="DF170" s="37">
        <f>SUMIF(FY26_LE_Data_March20[[Type]:[Type]],$D$170,FY26_LE_Data_March20[Oct. 1, 2024 - Grade 9])</f>
        <v>48722</v>
      </c>
      <c r="DG170" s="37">
        <f>SUMIF(FY26_LE_Data_March20[[Type]:[Type]],$D$170,FY26_LE_Data_March20[Oct. 1, 2024 - Grade 10])</f>
        <v>50544</v>
      </c>
      <c r="DH170" s="37">
        <f>SUMIF(FY26_LE_Data_March20[[Type]:[Type]],$D$170,FY26_LE_Data_March20[Oct. 1, 2024 - Grade 11])</f>
        <v>50817</v>
      </c>
      <c r="DI170" s="37">
        <f>SUMIF(FY26_LE_Data_March20[[Type]:[Type]],$D$170,FY26_LE_Data_March20[Oct. 1, 2024 - Grade 12])</f>
        <v>49908</v>
      </c>
      <c r="DJ170" s="37">
        <f>SUMIF(FY26_LE_Data_March20[[Type]:[Type]],$D$170,FY26_LE_Data_March20[Oct. 1, 2024 - Grades 1-6])</f>
        <v>257023</v>
      </c>
      <c r="DK170" s="37">
        <f>SUMIF(FY26_LE_Data_March20[[Type]:[Type]],$D$170,FY26_LE_Data_March20[Oct. 1, 2024 - Grades 7-8])</f>
        <v>92797</v>
      </c>
      <c r="DL170" s="37">
        <f>SUMIF(FY26_LE_Data_March20[[Type]:[Type]],$D$170,FY26_LE_Data_March20[Oct. 1, 2024 - Grades 9-12])</f>
        <v>199991</v>
      </c>
      <c r="DM170" s="37">
        <f>SUMIF(FY26_LE_Data_March20[[Type]:[Type]],$D$170,FY26_LE_Data_March20[Oct. 1, 2024 - Grades K-8])</f>
        <v>386971</v>
      </c>
      <c r="DN170" s="37">
        <f>SUMIF(FY26_LE_Data_March20[[Type]:[Type]],$D$170,FY26_LE_Data_March20[Oct. 1, 2024 - Grades 1-12])</f>
        <v>549811</v>
      </c>
      <c r="DO170" s="37">
        <f>SUMIF(FY26_LE_Data_March20[[Type]:[Type]],$D$170,FY26_LE_Data_March20[Oct. 1, 2024 - Grades K-12])</f>
        <v>586962</v>
      </c>
      <c r="DP170" s="37">
        <f>SUMIF(FY26_LE_Data_March20[[Type]:[Type]],$D$170,FY26_LE_Data_March20[Oct. 1, 2024 - Foreign Exchange])</f>
        <v>296</v>
      </c>
      <c r="DQ170" s="37">
        <f>SUMIF(FY26_LE_Data_March20[[Type]:[Type]],$D$170,FY26_LE_Data_March20[Oct. 1, 2024 - Econ. Disadv.])</f>
        <v>170742</v>
      </c>
      <c r="DR170" s="37">
        <f>SUMIF(FY26_LE_Data_March20[[Type]:[Type]],$D$170,FY26_LE_Data_March20[Oct. 1, 2024 - SPED Resource])</f>
        <v>64446</v>
      </c>
      <c r="DS170" s="37">
        <f>SUMIF(FY26_LE_Data_March20[[Type]:[Type]],$D$170,FY26_LE_Data_March20[Oct. 1, 2024 - SPED Self-Contained])</f>
        <v>10842</v>
      </c>
      <c r="DT170" s="37">
        <f>SUMIF(FY26_LE_Data_March20[[Type]:[Type]],$D$170,FY26_LE_Data_March20[Oct. 1, 2024 - Total SPED])</f>
        <v>75288</v>
      </c>
      <c r="DU170" s="37">
        <f>SUMIF(FY26_LE_Data_March20[[Type]:[Type]],$D$170,FY26_LE_Data_March20[Oct. 1, 2024 - LEP])</f>
        <v>53809</v>
      </c>
      <c r="DV170" s="39">
        <f>SUMIF(FY26_LE_Data_March20[[Type]:[Type]],$D$170,FY26_LE_Data_March20[ESA - All - FY25])</f>
        <v>33711.357349999998</v>
      </c>
      <c r="DW170" s="39">
        <f>SUMIF(FY26_LE_Data_March20[[Type]:[Type]],$D$170,FY26_LE_Data_March20[ESA - Educators Only - FY25])</f>
        <v>32067.714349999995</v>
      </c>
      <c r="DX170" s="39">
        <f>SUMIF(FY26_LE_Data_March20[[Type]:[Type]],$D$170,FY26_LE_Data_March20[TSM FTE - Elementary - FY25])</f>
        <v>13939.242000000002</v>
      </c>
      <c r="DY170" s="39">
        <f>SUMIF(FY26_LE_Data_March20[[Type]:[Type]],$D$170,FY26_LE_Data_March20[TSM FTE - Secondary - FY25])</f>
        <v>12652.265999999996</v>
      </c>
      <c r="DZ170" s="39">
        <f>SUMIF(FY26_LE_Data_March20[[Type]:[Type]],$D$170,FY26_LE_Data_March20[TSM FTE - Reg. Pre-K - FY25])</f>
        <v>50.673000000000002</v>
      </c>
      <c r="EA170" s="39">
        <f>SUMIF(FY26_LE_Data_March20[[Type]:[Type]],$D$170,FY26_LE_Data_March20[Educ. Prof. Hrs. FTE - FY25])</f>
        <v>34284.084850000014</v>
      </c>
      <c r="EB170" s="39">
        <f>SUMIF(FY26_LE_Data_March20[[Type]:[Type]],$D$170,FY26_LE_Data_March20[ProStaff Ratios - FY24 YE])</f>
        <v>3.670019600493367</v>
      </c>
      <c r="EC170" s="37">
        <f>SUMIF(FY26_LE_Data_March20[[Type]:[Type]],$D$170,FY26_LE_Data_March20[Oct 1 2024 Counts - Online Students &gt;=180 Days in FY2024/Still Online on Oct 1])</f>
        <v>0</v>
      </c>
      <c r="ED170" s="37">
        <f>SUMIF(FY26_LE_Data_March20[[Type]:[Type]],$D$170,FY26_LE_Data_March20[Oct 1, 2025 (CDC) - K])</f>
        <v>36562</v>
      </c>
      <c r="EE170" s="37">
        <f>SUMIF(FY26_LE_Data_March20[[Type]:[Type]],$D$170,FY26_LE_Data_March20[Oct 1, 2025 (CDC) - Grades 1-12])</f>
        <v>540949</v>
      </c>
      <c r="EF170" s="37">
        <f>SUMIF(FY26_LE_Data_March20[[Type]:[Type]],$D$170,FY26_LE_Data_March20[Oct 1, 2025 (CDC) - Grades 1-6])</f>
        <v>0</v>
      </c>
      <c r="EG170" s="37">
        <f>SUMIF(FY26_LE_Data_March20[[Type]:[Type]],$D$170,FY26_LE_Data_March20[Oct 1, 2025 (CDC) - Grades 7-8])</f>
        <v>0</v>
      </c>
      <c r="EH170" s="37">
        <f>SUMIF(FY26_LE_Data_March20[[Type]:[Type]],$D$170,FY26_LE_Data_March20[Oct 1, 2025 (CDC) - Grades 9-12])</f>
        <v>0</v>
      </c>
      <c r="EI170" s="37">
        <f>SUMIF(FY26_LE_Data_March20[[Type]:[Type]],$D$170,FY26_LE_Data_March20[Oct 1, 2025 (CDC) - Grades K-12])</f>
        <v>577511</v>
      </c>
      <c r="EJ170" s="37">
        <f>SUMIF(FY26_LE_Data_March20[[Type]:[Type]],$D$170,FY26_LE_Data_March20[December 1, 2025 - SPED Pre-K 3-5 Count])</f>
        <v>7540</v>
      </c>
      <c r="EK170" s="37">
        <f>SUMIF(FY26_LE_Data_March20[[Type]:[Type]],$D$170,FY26_LE_Data_March20[December 1, 2025 - SPED K-12])</f>
        <v>75275</v>
      </c>
      <c r="EL170" s="37">
        <f>SUMIF(FY26_LE_Data_March20[[Type]:[Type]],$D$170,FY26_LE_Data_March20[December 1, 2025 - SPED PreK-12 - All Ages])</f>
        <v>82816</v>
      </c>
      <c r="EM170" s="37">
        <f>SUMIF(FY26_LE_Data_March20[[Type]:[Type]],$D$170,FY26_LE_Data_March20[December 1, 2024 - SPED Resource])</f>
        <v>64283</v>
      </c>
      <c r="EN170" s="37">
        <f>SUMIF(FY26_LE_Data_March20[[Type]:[Type]],$D$170,FY26_LE_Data_March20[December 1, 2024 - SPED Self-Contained])</f>
        <v>10992</v>
      </c>
      <c r="EO170" s="37">
        <f>SUMIF(FY26_LE_Data_March20[[Type]:[Type]],$D$170,FY26_LE_Data_March20[FY24 ESY Count])</f>
        <v>3570</v>
      </c>
      <c r="EP170" s="37">
        <f>SUMIF(FY26_LE_Data_March20[[Type]:[Type]],$D$170,FY26_LE_Data_March20[FY24 Classified FTE: Instructional Paraprofessionals])</f>
        <v>10138.785</v>
      </c>
      <c r="EQ170" s="37">
        <f>SUMIF(FY26_LE_Data_March20[[Type]:[Type]],$D$170,FY26_LE_Data_March20[FY24 Classified FTE: Library Paraprofessionals])</f>
        <v>571.52100000000007</v>
      </c>
      <c r="ER170" s="37">
        <f>SUMIF(FY26_LE_Data_March20[[Type]:[Type]],$D$170,FY26_LE_Data_March20[FY24 Classified FTE: School Support])</f>
        <v>2289.9879999999998</v>
      </c>
      <c r="ES170" s="37">
        <f>SUMIF(FY26_LE_Data_March20[[Type]:[Type]],$D$170,FY26_LE_Data_March20[FY24 Classified FTE: Student Support])</f>
        <v>1588.41</v>
      </c>
      <c r="ET170" s="37">
        <f>SUMIF(FY26_LE_Data_March20[[Type]:[Type]],$D$170,FY26_LE_Data_March20[FY24 Classified FTE: Other Support Staff])</f>
        <v>8547.4219999999987</v>
      </c>
      <c r="EU170" s="37">
        <f>SUMIF(FY26_LE_Data_March20[[Type]:[Type]],$D$170,FY26_LE_Data_March20[FY24 Classified FTE: All Qualifying FTE])</f>
        <v>23136.126000000004</v>
      </c>
    </row>
    <row r="171" spans="1:151" x14ac:dyDescent="0.3">
      <c r="D171" s="24" t="s">
        <v>453</v>
      </c>
      <c r="G171" s="39">
        <f>SUMIF(FY26_LE_Data_March20[[Type]:[Type]],$D$171,FY26_LE_Data_March20[FY22ADM - SPED Resource])</f>
        <v>0</v>
      </c>
      <c r="H171" s="39">
        <f>SUMIF(FY26_LE_Data_March20[[Type]:[Type]],$D$171,FY26_LE_Data_March20[FY22ADM - SPED Self-Contained])</f>
        <v>182.65</v>
      </c>
      <c r="I171" s="39">
        <f>SUMIF(FY26_LE_Data_March20[[Type]:[Type]],$D$171,FY26_LE_Data_March20[Oct 1, 2022 - K])</f>
        <v>30</v>
      </c>
      <c r="J171" s="39">
        <f>SUMIF(FY26_LE_Data_March20[[Type]:[Type]],$D$171,FY26_LE_Data_March20[Oct 1, 2022 - Grades 1-6])</f>
        <v>93</v>
      </c>
      <c r="K171" s="39">
        <f>SUMIF(FY26_LE_Data_March20[[Type]:[Type]],$D$171,FY26_LE_Data_March20[Oct 1, 2022 - Grades 7-8])</f>
        <v>16</v>
      </c>
      <c r="L171" s="39">
        <f>SUMIF(FY26_LE_Data_March20[[Type]:[Type]],$D$171,FY26_LE_Data_March20[Oct 1, 2022 - Grades 9-12])</f>
        <v>47</v>
      </c>
      <c r="M171" s="39">
        <f>SUMIF(FY26_LE_Data_March20[[Type]:[Type]],$D$171,FY26_LE_Data_March20[Oct 1, 2022 - Grades K-12])</f>
        <v>186</v>
      </c>
      <c r="N171" s="39">
        <f>SUMIF(FY26_LE_Data_March20[[Type]:[Type]],$D$171,FY26_LE_Data_March20[Oct 1, 2022 - Grades 1-12])</f>
        <v>156</v>
      </c>
      <c r="O171" s="39">
        <f>SUMIF(FY26_LE_Data_March20[[Type]:[Type]],$D$171,FY26_LE_Data_March20[Oct 1, 2022 - Grades K-8])</f>
        <v>139</v>
      </c>
      <c r="P171" s="39">
        <f>SUMIF(FY26_LE_Data_March20[[Type]:[Type]],$D$171,FY26_LE_Data_March20[Oct 1, 2022 - Self-Contained])</f>
        <v>174</v>
      </c>
      <c r="Q171" s="39">
        <f>SUMIF(FY26_LE_Data_March20[[Type]:[Type]],$D$171,FY26_LE_Data_March20[FY23 ADM - K])</f>
        <v>3.2888888888888888</v>
      </c>
      <c r="R171" s="39">
        <f>SUMIF(FY26_LE_Data_March20[[Type]:[Type]],$D$171,FY26_LE_Data_March20[FY23 ADM - Grade 1])</f>
        <v>0.31666666666666665</v>
      </c>
      <c r="S171" s="39">
        <f>SUMIF(FY26_LE_Data_March20[[Type]:[Type]],$D$171,FY26_LE_Data_March20[FY23 ADM - Grade 2])</f>
        <v>1.6277777777777778</v>
      </c>
      <c r="T171" s="39">
        <f>SUMIF(FY26_LE_Data_March20[[Type]:[Type]],$D$171,FY26_LE_Data_March20[FY23 ADM - Grade 3])</f>
        <v>5.5555555555555558E-3</v>
      </c>
      <c r="U171" s="39">
        <f>SUMIF(FY26_LE_Data_March20[[Type]:[Type]],$D$171,FY26_LE_Data_March20[FY23 ADM - Grade 4])</f>
        <v>0.11666666666666667</v>
      </c>
      <c r="V171" s="39">
        <f>SUMIF(FY26_LE_Data_March20[[Type]:[Type]],$D$171,FY26_LE_Data_March20[FY23 ADM - Grade 5])</f>
        <v>2.3222222222222224</v>
      </c>
      <c r="W171" s="39">
        <f>SUMIF(FY26_LE_Data_March20[[Type]:[Type]],$D$171,FY26_LE_Data_March20[FY23 ADM - Grade 6])</f>
        <v>1.4166666666666667</v>
      </c>
      <c r="X171" s="39">
        <f>SUMIF(FY26_LE_Data_March20[[Type]:[Type]],$D$171,FY26_LE_Data_March20[FY23 ADM - Grade 7])</f>
        <v>1.1111111111111112E-2</v>
      </c>
      <c r="Y171" s="39">
        <f>SUMIF(FY26_LE_Data_March20[[Type]:[Type]],$D$171,FY26_LE_Data_March20[FY23 ADM - Grade 8])</f>
        <v>0</v>
      </c>
      <c r="Z171" s="39">
        <f>SUMIF(FY26_LE_Data_March20[[Type]:[Type]],$D$171,FY26_LE_Data_March20[FY23 ADM - Grade 9])</f>
        <v>3.3333333333333333E-2</v>
      </c>
      <c r="AA171" s="39">
        <f>SUMIF(FY26_LE_Data_March20[[Type]:[Type]],$D$171,FY26_LE_Data_March20[FY23 ADM - Grade 10])</f>
        <v>2.0444444444444443</v>
      </c>
      <c r="AB171" s="39">
        <f>SUMIF(FY26_LE_Data_March20[[Type]:[Type]],$D$171,FY26_LE_Data_March20[FY23 ADM - Grade 11])</f>
        <v>7.7777777777777779E-2</v>
      </c>
      <c r="AC171" s="39">
        <f>SUMIF(FY26_LE_Data_March20[[Type]:[Type]],$D$171,FY26_LE_Data_March20[FY23 ADM - Grade 12])</f>
        <v>0</v>
      </c>
      <c r="AD171" s="39">
        <f>SUMIF(FY26_LE_Data_March20[[Type]:[Type]],$D$171,FY26_LE_Data_March20[FY23 ADM - Grades 1-6])</f>
        <v>5.8055555555555562</v>
      </c>
      <c r="AE171" s="39">
        <f>SUMIF(FY26_LE_Data_March20[[Type]:[Type]],$D$171,FY26_LE_Data_March20[FY23 ADM - Grades 7-8])</f>
        <v>1.1111111111111112E-2</v>
      </c>
      <c r="AF171" s="39">
        <f>SUMIF(FY26_LE_Data_March20[[Type]:[Type]],$D$171,FY26_LE_Data_March20[FY23 ADM - Grades 9-12])</f>
        <v>2.1555555555555554</v>
      </c>
      <c r="AG171" s="39">
        <f>SUMIF(FY26_LE_Data_March20[[Type]:[Type]],$D$171,FY26_LE_Data_March20[FY23 ADM - Grades K-8])</f>
        <v>9.1055555555555543</v>
      </c>
      <c r="AH171" s="39">
        <f>SUMIF(FY26_LE_Data_March20[[Type]:[Type]],$D$171,FY26_LE_Data_March20[FY23 ADM - Grades 1-12])</f>
        <v>7.9722222222222223</v>
      </c>
      <c r="AI171" s="39">
        <f>SUMIF(FY26_LE_Data_March20[[Type]:[Type]],$D$171,FY26_LE_Data_March20[FY23 ADM - Grades K-12])</f>
        <v>11.261111111111109</v>
      </c>
      <c r="AJ171" s="39">
        <f>SUMIF(FY26_LE_Data_March20[[Type]:[Type]],$D$171,FY26_LE_Data_March20[FY23ADM - SPED Resource])</f>
        <v>0</v>
      </c>
      <c r="AK171" s="39">
        <f>SUMIF(FY26_LE_Data_March20[[Type]:[Type]],$D$171,FY26_LE_Data_March20[FY23ADM - SPED Self-Contained])</f>
        <v>172.96666666666667</v>
      </c>
      <c r="AL171" s="39">
        <f>SUMIF(FY26_LE_Data_March20[[Type]:[Type]],$D$171,FY26_LE_Data_March20[FY23ADM - Total SPED])</f>
        <v>172.96666666666667</v>
      </c>
      <c r="AM171" s="39">
        <f>SUMIF(FY26_LE_Data_March20[[Type]:[Type]],$D$171,FY26_LE_Data_March20[Oct. 1, 2023 - K])</f>
        <v>33</v>
      </c>
      <c r="AN171" s="39">
        <f>SUMIF(FY26_LE_Data_March20[[Type]:[Type]],$D$171,FY26_LE_Data_March20[Oct. 1, 2023 - Grade 1])</f>
        <v>27</v>
      </c>
      <c r="AO171" s="39">
        <f>SUMIF(FY26_LE_Data_March20[[Type]:[Type]],$D$171,FY26_LE_Data_March20[Oct. 1, 2023 - Grade 2])</f>
        <v>21</v>
      </c>
      <c r="AP171" s="39">
        <f>SUMIF(FY26_LE_Data_March20[[Type]:[Type]],$D$171,FY26_LE_Data_March20[Oct. 1, 2023 - Grade 3])</f>
        <v>17</v>
      </c>
      <c r="AQ171" s="39">
        <f>SUMIF(FY26_LE_Data_March20[[Type]:[Type]],$D$171,FY26_LE_Data_March20[Oct. 1, 2023 - Grade 4])</f>
        <v>13</v>
      </c>
      <c r="AR171" s="39">
        <f>SUMIF(FY26_LE_Data_March20[[Type]:[Type]],$D$171,FY26_LE_Data_March20[Oct. 1, 2023 - Grade 5])</f>
        <v>15</v>
      </c>
      <c r="AS171" s="39">
        <f>SUMIF(FY26_LE_Data_March20[[Type]:[Type]],$D$171,FY26_LE_Data_March20[Oct. 1, 2023 - Grade 6])</f>
        <v>14</v>
      </c>
      <c r="AT171" s="39">
        <f>SUMIF(FY26_LE_Data_March20[[Type]:[Type]],$D$171,FY26_LE_Data_March20[Oct. 1, 2023 - Grade 7])</f>
        <v>5</v>
      </c>
      <c r="AU171" s="39">
        <f>SUMIF(FY26_LE_Data_March20[[Type]:[Type]],$D$171,FY26_LE_Data_March20[Oct. 1, 2023 - Grade 8])</f>
        <v>7</v>
      </c>
      <c r="AV171" s="39">
        <f>SUMIF(FY26_LE_Data_March20[[Type]:[Type]],$D$171,FY26_LE_Data_March20[Oct. 1, 2023 - Grade 9])</f>
        <v>9</v>
      </c>
      <c r="AW171" s="39">
        <f>SUMIF(FY26_LE_Data_March20[[Type]:[Type]],$D$171,FY26_LE_Data_March20[Oct. 1, 2023 - Grade 10])</f>
        <v>12</v>
      </c>
      <c r="AX171" s="39">
        <f>SUMIF(FY26_LE_Data_March20[[Type]:[Type]],$D$171,FY26_LE_Data_March20[Oct. 1, 2023 - Grade 11])</f>
        <v>13</v>
      </c>
      <c r="AY171" s="39">
        <f>SUMIF(FY26_LE_Data_March20[[Type]:[Type]],$D$171,FY26_LE_Data_March20[Oct. 1, 2023 - Grade 12])</f>
        <v>10</v>
      </c>
      <c r="AZ171" s="39">
        <f>SUMIF(FY26_LE_Data_March20[[Type]:[Type]],$D$171,FY26_LE_Data_March20[Oct. 1, 2023 - Grades 1-6])</f>
        <v>107</v>
      </c>
      <c r="BA171" s="39">
        <f>SUMIF(FY26_LE_Data_March20[[Type]:[Type]],$D$171,FY26_LE_Data_March20[Oct. 1, 2023 - Grades 7-8])</f>
        <v>12</v>
      </c>
      <c r="BB171" s="39">
        <f>SUMIF(FY26_LE_Data_March20[[Type]:[Type]],$D$171,FY26_LE_Data_March20[Oct. 1, 2023 - Grades 9-12])</f>
        <v>44</v>
      </c>
      <c r="BC171" s="39">
        <f>SUMIF(FY26_LE_Data_March20[[Type]:[Type]],$D$171,FY26_LE_Data_March20[Oct. 1, 2023 - Grades K-8])</f>
        <v>152</v>
      </c>
      <c r="BD171" s="39">
        <f>SUMIF(FY26_LE_Data_March20[[Type]:[Type]],$D$171,FY26_LE_Data_March20[Oct. 1, 2023 - Grades 1-12])</f>
        <v>163</v>
      </c>
      <c r="BE171" s="39">
        <f>SUMIF(FY26_LE_Data_March20[[Type]:[Type]],$D$171,FY26_LE_Data_March20[Oct. 1, 2023 - Grades K-12])</f>
        <v>196</v>
      </c>
      <c r="BF171" s="39">
        <f>SUMIF(FY26_LE_Data_March20[[Type]:[Type]],$D$171,FY26_LE_Data_March20[Oct. 1, 2023 - FDK Counts])</f>
        <v>33</v>
      </c>
      <c r="BG171" s="39">
        <f>SUMIF(FY26_LE_Data_March20[[Type]:[Type]],$D$171,FY26_LE_Data_March20[Oct. 1, 2023 - HDK Counts])</f>
        <v>0</v>
      </c>
      <c r="BH171" s="39">
        <f>SUMIF(FY26_LE_Data_March20[[Type]:[Type]],$D$171,FY26_LE_Data_March20[Oct. 1, 2023 - Foreign Exchange])</f>
        <v>0</v>
      </c>
      <c r="BI171" s="39">
        <f>SUMIF(FY26_LE_Data_March20[[Type]:[Type]],$D$171,FY26_LE_Data_March20[Oct. 1, 2023 - Econ. Disadv.])</f>
        <v>68</v>
      </c>
      <c r="BJ171" s="39">
        <f>SUMIF(FY26_LE_Data_March20[[Type]:[Type]],$D$171,FY26_LE_Data_March20[Oct. 1, 2023 - SPED Resource])</f>
        <v>0</v>
      </c>
      <c r="BK171" s="39">
        <f>SUMIF(FY26_LE_Data_March20[[Type]:[Type]],$D$171,FY26_LE_Data_March20[Oct. 1, 2023 - SPED Self-Contained])</f>
        <v>178</v>
      </c>
      <c r="BL171" s="39">
        <f>SUMIF(FY26_LE_Data_March20[[Type]:[Type]],$D$171,FY26_LE_Data_March20[Oct. 1, 2023 - Total SPED])</f>
        <v>178</v>
      </c>
      <c r="BM171" s="39">
        <f>SUMIF(FY26_LE_Data_March20[[Type]:[Type]],$D$171,FY26_LE_Data_March20[Oct. 1, 2023 - LEP])</f>
        <v>0</v>
      </c>
      <c r="BN171" s="39">
        <f>SUMIF(FY26_LE_Data_March20[[Type]:[Type]],$D$171,FY26_LE_Data_March20[Prostaff Ratios])</f>
        <v>0.10238701364007774</v>
      </c>
      <c r="BO171" s="39">
        <f>SUMIF(FY26_LE_Data_March20[[Type]:[Type]],$D$171,FY26_LE_Data_March20[ESA - All - FY24])</f>
        <v>191.28900000000004</v>
      </c>
      <c r="BP171" s="39">
        <f>SUMIF(FY26_LE_Data_March20[[Type]:[Type]],$D$171,FY26_LE_Data_March20[ESA - Educators Only - FY24])</f>
        <v>186.33000000000004</v>
      </c>
      <c r="BQ171" s="39">
        <f>SUMIF(FY26_LE_Data_March20[[Type]:[Type]],$D$171,FY26_LE_Data_March20[TSM FTE - FY24])</f>
        <v>165.62</v>
      </c>
      <c r="BR171" s="39">
        <f>SUMIF(FY26_LE_Data_March20[[Type]:[Type]],$D$171,FY26_LE_Data_March20[Educ. Prof. Hrs. FTE - FY24])</f>
        <v>194.28900000000002</v>
      </c>
      <c r="BS171" s="37">
        <f>SUMIF(FY26_LE_Data_March20[[Type]:[Type]],$D$171,FY26_LE_Data_March20[Oct 1 2020 Counts - Online Students &gt;180 Days ])</f>
        <v>0</v>
      </c>
      <c r="BT171" s="37">
        <f>SUMIF(FY26_LE_Data_March20[[Type]:[Type]],$D$171,FY26_LE_Data_March20[Oct 1 2023 Counts - Online Students &gt;180 Days in FY2023/Still Online on Oct 1])</f>
        <v>0</v>
      </c>
      <c r="BU171" s="39">
        <f>SUMIF(FY26_LE_Data_March20[[Type]:[Type]],$D$171,FY26_LE_Data_March20[FY23 ADM - Online Students &gt;180 Days ])</f>
        <v>0</v>
      </c>
      <c r="BV171" s="39">
        <f>SUMIF(FY26_LE_Data_March20[[Type]:[Type]],$D$171,FY26_LE_Data_March20[FY24 ADM - Half Day K])</f>
        <v>0</v>
      </c>
      <c r="BW171" s="39">
        <f>SUMIF(FY26_LE_Data_March20[[Type]:[Type]],$D$171,FY26_LE_Data_March20[FY24 ADM - Full Day K])</f>
        <v>4.8666660000000004</v>
      </c>
      <c r="BX171" s="39">
        <f>SUMIF(FY26_LE_Data_March20[[Type]:[Type]],$D$171,FY26_LE_Data_March20[FY24 ADM - Total K])</f>
        <v>4.8666666666666663</v>
      </c>
      <c r="BY171" s="39">
        <f>SUMIF(FY26_LE_Data_March20[[Type]:[Type]],$D$171,FY26_LE_Data_March20[FY24 ADM - Grade 1])</f>
        <v>2.3722222222222222</v>
      </c>
      <c r="BZ171" s="39">
        <f>SUMIF(FY26_LE_Data_March20[[Type]:[Type]],$D$171,FY26_LE_Data_March20[FY24 ADM - Grade 2])</f>
        <v>1.0277777777777777</v>
      </c>
      <c r="CA171" s="39">
        <f>SUMIF(FY26_LE_Data_March20[[Type]:[Type]],$D$171,FY26_LE_Data_March20[FY24 ADM - Grade 3])</f>
        <v>3.2222222222222223</v>
      </c>
      <c r="CB171" s="39">
        <f>SUMIF(FY26_LE_Data_March20[[Type]:[Type]],$D$171,FY26_LE_Data_March20[FY24 ADM - Grade 4])</f>
        <v>0.17222222222222222</v>
      </c>
      <c r="CC171" s="39">
        <f>SUMIF(FY26_LE_Data_March20[[Type]:[Type]],$D$171,FY26_LE_Data_March20[FY24 ADM - Grade 5])</f>
        <v>1.05</v>
      </c>
      <c r="CD171" s="39">
        <f>SUMIF(FY26_LE_Data_March20[[Type]:[Type]],$D$171,FY26_LE_Data_March20[FY24 ADM - Grade 6])</f>
        <v>2</v>
      </c>
      <c r="CE171" s="39">
        <f>SUMIF(FY26_LE_Data_March20[[Type]:[Type]],$D$171,FY26_LE_Data_March20[FY24 ADM - Grade 7])</f>
        <v>0</v>
      </c>
      <c r="CF171" s="39">
        <f>SUMIF(FY26_LE_Data_March20[[Type]:[Type]],$D$171,FY26_LE_Data_March20[FY24 ADM - Grade 8])</f>
        <v>2.7777777777777776E-2</v>
      </c>
      <c r="CG171" s="39">
        <f>SUMIF(FY26_LE_Data_March20[[Type]:[Type]],$D$171,FY26_LE_Data_March20[FY24 ADM - Grade 9])</f>
        <v>0</v>
      </c>
      <c r="CH171" s="39">
        <f>SUMIF(FY26_LE_Data_March20[[Type]:[Type]],$D$171,FY26_LE_Data_March20[FY24 ADM - Grade 10])</f>
        <v>2.2222222222222223E-2</v>
      </c>
      <c r="CI171" s="39">
        <f>SUMIF(FY26_LE_Data_March20[[Type]:[Type]],$D$171,FY26_LE_Data_March20[FY24 ADM - Grade 11])</f>
        <v>2</v>
      </c>
      <c r="CJ171" s="39">
        <f>SUMIF(FY26_LE_Data_March20[[Type]:[Type]],$D$171,FY26_LE_Data_March20[FY24 ADM - Grade 12])</f>
        <v>5.5555555555555558E-3</v>
      </c>
      <c r="CK171" s="39">
        <f>SUMIF(FY26_LE_Data_March20[[Type]:[Type]],$D$171,FY26_LE_Data_March20[FY24 ADM - Grades 1-6])</f>
        <v>9.844444444444445</v>
      </c>
      <c r="CL171" s="39">
        <f>SUMIF(FY26_LE_Data_March20[[Type]:[Type]],$D$171,FY26_LE_Data_March20[FY24 ADM - Grades 7-8])</f>
        <v>2.7777777777777776E-2</v>
      </c>
      <c r="CM171" s="39">
        <f>SUMIF(FY26_LE_Data_March20[[Type]:[Type]],$D$171,FY26_LE_Data_March20[FY24 ADM - Grades 9-12])</f>
        <v>2.0277777777777777</v>
      </c>
      <c r="CN171" s="39">
        <f>SUMIF(FY26_LE_Data_March20[[Type]:[Type]],$D$171,FY26_LE_Data_March20[FY24 ADM - Grades K-8])</f>
        <v>14.738888888888889</v>
      </c>
      <c r="CO171" s="39">
        <f>SUMIF(FY26_LE_Data_March20[[Type]:[Type]],$D$171,FY26_LE_Data_March20[FY24 ADM - Grades 1-12])</f>
        <v>11.900000000000002</v>
      </c>
      <c r="CP171" s="39">
        <f>SUMIF(FY26_LE_Data_March20[[Type]:[Type]],$D$171,FY26_LE_Data_March20[FY24 ADM - Grades K-12])</f>
        <v>16.766666666666669</v>
      </c>
      <c r="CQ171" s="39">
        <f>SUMIF(FY26_LE_Data_March20[[Type]:[Type]],$D$171,FY26_LE_Data_March20[FY24 ADM - SPED Resource])</f>
        <v>0</v>
      </c>
      <c r="CR171" s="39">
        <f>SUMIF(FY26_LE_Data_March20[[Type]:[Type]],$D$171,FY26_LE_Data_March20[FY24 ADM - SPED Self-Contained])</f>
        <v>179.544444444444</v>
      </c>
      <c r="CS171" s="39">
        <f>SUMIF(FY26_LE_Data_March20[[Type]:[Type]],$D$171,FY26_LE_Data_March20[FY24 ADM - Total SPED])</f>
        <v>179.544444444444</v>
      </c>
      <c r="CT171" s="39">
        <f>SUMIF(FY26_LE_Data_March20[[Type]:[Type]],$D$171,FY26_LE_Data_March20[FY24 ADM - Online Students - Online All 180 Days])</f>
        <v>0</v>
      </c>
      <c r="CU171" s="39">
        <f>SUMIF(FY26_LE_Data_March20[[Type]:[Type]],$D$171,FY26_LE_Data_March20[Oct. 1, 2024 - FDK])</f>
        <v>0</v>
      </c>
      <c r="CV171" s="37">
        <f>SUMIF(FY26_LE_Data_March20[[Type]:[Type]],$D$171,FY26_LE_Data_March20[Oct. 1, 2024 - HDK])</f>
        <v>0</v>
      </c>
      <c r="CW171" s="37">
        <f>SUMIF(FY26_LE_Data_March20[[Type]:[Type]],$D$171,FY26_LE_Data_March20[Oct. 1, 2024 - Total K])</f>
        <v>0</v>
      </c>
      <c r="CX171" s="37">
        <f>SUMIF(FY26_LE_Data_March20[[Type]:[Type]],$D$171,FY26_LE_Data_March20[Oct. 1, 2024 - Grade 1])</f>
        <v>0</v>
      </c>
      <c r="CY171" s="37">
        <f>SUMIF(FY26_LE_Data_March20[[Type]:[Type]],$D$171,FY26_LE_Data_March20[Oct. 1, 2024 - Grade 2])</f>
        <v>0</v>
      </c>
      <c r="CZ171" s="37">
        <f>SUMIF(FY26_LE_Data_March20[[Type]:[Type]],$D$171,FY26_LE_Data_March20[Oct. 1, 2024 - Grade 3])</f>
        <v>0</v>
      </c>
      <c r="DA171" s="37">
        <f>SUMIF(FY26_LE_Data_March20[[Type]:[Type]],$D$171,FY26_LE_Data_March20[Oct. 1, 2024 - Grade 4])</f>
        <v>0</v>
      </c>
      <c r="DB171" s="37">
        <f>SUMIF(FY26_LE_Data_March20[[Type]:[Type]],$D$171,FY26_LE_Data_March20[Oct. 1, 2024 - Grade 5])</f>
        <v>0</v>
      </c>
      <c r="DC171" s="37">
        <f>SUMIF(FY26_LE_Data_March20[[Type]:[Type]],$D$171,FY26_LE_Data_March20[Oct. 1, 2024 - Grade 6])</f>
        <v>0</v>
      </c>
      <c r="DD171" s="37">
        <f>SUMIF(FY26_LE_Data_March20[[Type]:[Type]],$D$171,FY26_LE_Data_March20[Oct. 1, 2024 - Grade 7])</f>
        <v>0</v>
      </c>
      <c r="DE171" s="37">
        <f>SUMIF(FY26_LE_Data_March20[[Type]:[Type]],$D$171,FY26_LE_Data_March20[Oct. 1, 2024 - Grade 8])</f>
        <v>0</v>
      </c>
      <c r="DF171" s="37">
        <f>SUMIF(FY26_LE_Data_March20[[Type]:[Type]],$D$171,FY26_LE_Data_March20[Oct. 1, 2024 - Grade 9])</f>
        <v>0</v>
      </c>
      <c r="DG171" s="37">
        <f>SUMIF(FY26_LE_Data_March20[[Type]:[Type]],$D$171,FY26_LE_Data_March20[Oct. 1, 2024 - Grade 10])</f>
        <v>0</v>
      </c>
      <c r="DH171" s="37">
        <f>SUMIF(FY26_LE_Data_March20[[Type]:[Type]],$D$171,FY26_LE_Data_March20[Oct. 1, 2024 - Grade 11])</f>
        <v>0</v>
      </c>
      <c r="DI171" s="37">
        <f>SUMIF(FY26_LE_Data_March20[[Type]:[Type]],$D$171,FY26_LE_Data_March20[Oct. 1, 2024 - Grade 12])</f>
        <v>0</v>
      </c>
      <c r="DJ171" s="37">
        <f>SUMIF(FY26_LE_Data_March20[[Type]:[Type]],$D$171,FY26_LE_Data_March20[Oct. 1, 2024 - Grades 1-6])</f>
        <v>0</v>
      </c>
      <c r="DK171" s="37">
        <f>SUMIF(FY26_LE_Data_March20[[Type]:[Type]],$D$171,FY26_LE_Data_March20[Oct. 1, 2024 - Grades 7-8])</f>
        <v>0</v>
      </c>
      <c r="DL171" s="37">
        <f>SUMIF(FY26_LE_Data_March20[[Type]:[Type]],$D$171,FY26_LE_Data_March20[Oct. 1, 2024 - Grades 9-12])</f>
        <v>0</v>
      </c>
      <c r="DM171" s="37">
        <f>SUMIF(FY26_LE_Data_March20[[Type]:[Type]],$D$171,FY26_LE_Data_March20[Oct. 1, 2024 - Grades K-8])</f>
        <v>0</v>
      </c>
      <c r="DN171" s="37">
        <f>SUMIF(FY26_LE_Data_March20[[Type]:[Type]],$D$171,FY26_LE_Data_March20[Oct. 1, 2024 - Grades 1-12])</f>
        <v>0</v>
      </c>
      <c r="DO171" s="37">
        <f>SUMIF(FY26_LE_Data_March20[[Type]:[Type]],$D$171,FY26_LE_Data_March20[Oct. 1, 2024 - Grades K-12])</f>
        <v>0</v>
      </c>
      <c r="DP171" s="37">
        <f>SUMIF(FY26_LE_Data_March20[[Type]:[Type]],$D$171,FY26_LE_Data_March20[Oct. 1, 2024 - Foreign Exchange])</f>
        <v>0</v>
      </c>
      <c r="DQ171" s="37">
        <f>SUMIF(FY26_LE_Data_March20[[Type]:[Type]],$D$171,FY26_LE_Data_March20[Oct. 1, 2024 - Econ. Disadv.])</f>
        <v>0</v>
      </c>
      <c r="DR171" s="37">
        <f>SUMIF(FY26_LE_Data_March20[[Type]:[Type]],$D$171,FY26_LE_Data_March20[Oct. 1, 2024 - SPED Resource])</f>
        <v>0</v>
      </c>
      <c r="DS171" s="37">
        <f>SUMIF(FY26_LE_Data_March20[[Type]:[Type]],$D$171,FY26_LE_Data_March20[Oct. 1, 2024 - SPED Self-Contained])</f>
        <v>0</v>
      </c>
      <c r="DT171" s="37">
        <f>SUMIF(FY26_LE_Data_March20[[Type]:[Type]],$D$171,FY26_LE_Data_March20[Oct. 1, 2024 - Total SPED])</f>
        <v>0</v>
      </c>
      <c r="DU171" s="37">
        <f>SUMIF(FY26_LE_Data_March20[[Type]:[Type]],$D$171,FY26_LE_Data_March20[Oct. 1, 2024 - LEP])</f>
        <v>0</v>
      </c>
      <c r="DV171" s="39">
        <f>SUMIF(FY26_LE_Data_March20[[Type]:[Type]],$D$171,FY26_LE_Data_March20[ESA - All - FY25])</f>
        <v>211.5325</v>
      </c>
      <c r="DW171" s="39">
        <f>SUMIF(FY26_LE_Data_March20[[Type]:[Type]],$D$171,FY26_LE_Data_March20[ESA - Educators Only - FY25])</f>
        <v>206.36999999999998</v>
      </c>
      <c r="DX171" s="39">
        <f>SUMIF(FY26_LE_Data_March20[[Type]:[Type]],$D$171,FY26_LE_Data_March20[TSM FTE - Elementary - FY25])</f>
        <v>89.990000000000009</v>
      </c>
      <c r="DY171" s="39">
        <f>SUMIF(FY26_LE_Data_March20[[Type]:[Type]],$D$171,FY26_LE_Data_March20[TSM FTE - Secondary - FY25])</f>
        <v>73.59</v>
      </c>
      <c r="DZ171" s="39">
        <f>SUMIF(FY26_LE_Data_March20[[Type]:[Type]],$D$171,FY26_LE_Data_March20[TSM FTE - Reg. Pre-K - FY25])</f>
        <v>0</v>
      </c>
      <c r="EA171" s="39">
        <f>SUMIF(FY26_LE_Data_March20[[Type]:[Type]],$D$171,FY26_LE_Data_March20[Educ. Prof. Hrs. FTE - FY25])</f>
        <v>216.23600000000002</v>
      </c>
      <c r="EB171" s="39">
        <f>SUMIF(FY26_LE_Data_March20[[Type]:[Type]],$D$171,FY26_LE_Data_March20[ProStaff Ratios - FY24 YE])</f>
        <v>0.10137975462209625</v>
      </c>
      <c r="EC171" s="37">
        <f>SUMIF(FY26_LE_Data_March20[[Type]:[Type]],$D$171,FY26_LE_Data_March20[Oct 1 2024 Counts - Online Students &gt;=180 Days in FY2024/Still Online on Oct 1])</f>
        <v>0</v>
      </c>
      <c r="ED171" s="37">
        <f>SUMIF(FY26_LE_Data_March20[[Type]:[Type]],$D$171,FY26_LE_Data_March20[Oct 1, 2025 (CDC) - K])</f>
        <v>0</v>
      </c>
      <c r="EE171" s="37">
        <f>SUMIF(FY26_LE_Data_March20[[Type]:[Type]],$D$171,FY26_LE_Data_March20[Oct 1, 2025 (CDC) - Grades 1-12])</f>
        <v>0</v>
      </c>
      <c r="EF171" s="37">
        <f>SUMIF(FY26_LE_Data_March20[[Type]:[Type]],$D$171,FY26_LE_Data_March20[Oct 1, 2025 (CDC) - Grades 1-6])</f>
        <v>0</v>
      </c>
      <c r="EG171" s="37">
        <f>SUMIF(FY26_LE_Data_March20[[Type]:[Type]],$D$171,FY26_LE_Data_March20[Oct 1, 2025 (CDC) - Grades 7-8])</f>
        <v>0</v>
      </c>
      <c r="EH171" s="37">
        <f>SUMIF(FY26_LE_Data_March20[[Type]:[Type]],$D$171,FY26_LE_Data_March20[Oct 1, 2025 (CDC) - Grades 9-12])</f>
        <v>0</v>
      </c>
      <c r="EI171" s="37">
        <f>SUMIF(FY26_LE_Data_March20[[Type]:[Type]],$D$171,FY26_LE_Data_March20[Oct 1, 2025 (CDC) - Grades K-12])</f>
        <v>0</v>
      </c>
      <c r="EJ171" s="37">
        <f>SUMIF(FY26_LE_Data_March20[[Type]:[Type]],$D$171,FY26_LE_Data_March20[December 1, 2025 - SPED Pre-K 3-5 Count])</f>
        <v>86</v>
      </c>
      <c r="EK171" s="37">
        <f>SUMIF(FY26_LE_Data_March20[[Type]:[Type]],$D$171,FY26_LE_Data_March20[December 1, 2025 - SPED K-12])</f>
        <v>191</v>
      </c>
      <c r="EL171" s="37">
        <f>SUMIF(FY26_LE_Data_March20[[Type]:[Type]],$D$171,FY26_LE_Data_March20[December 1, 2025 - SPED PreK-12 - All Ages])</f>
        <v>277</v>
      </c>
      <c r="EM171" s="37">
        <f>SUMIF(FY26_LE_Data_March20[[Type]:[Type]],$D$171,FY26_LE_Data_March20[December 1, 2024 - SPED Resource])</f>
        <v>0</v>
      </c>
      <c r="EN171" s="37">
        <f>SUMIF(FY26_LE_Data_March20[[Type]:[Type]],$D$171,FY26_LE_Data_March20[December 1, 2024 - SPED Self-Contained])</f>
        <v>191</v>
      </c>
      <c r="EO171" s="37">
        <f>SUMIF(FY26_LE_Data_March20[[Type]:[Type]],$D$171,FY26_LE_Data_March20[FY24 ESY Count])</f>
        <v>37</v>
      </c>
      <c r="EP171" s="37">
        <f>SUMIF(FY26_LE_Data_March20[[Type]:[Type]],$D$171,FY26_LE_Data_March20[FY24 Classified FTE: Instructional Paraprofessionals])</f>
        <v>126</v>
      </c>
      <c r="EQ171" s="37">
        <f>SUMIF(FY26_LE_Data_March20[[Type]:[Type]],$D$171,FY26_LE_Data_March20[FY24 Classified FTE: Library Paraprofessionals])</f>
        <v>7</v>
      </c>
      <c r="ER171" s="37">
        <f>SUMIF(FY26_LE_Data_March20[[Type]:[Type]],$D$171,FY26_LE_Data_March20[FY24 Classified FTE: School Support])</f>
        <v>17</v>
      </c>
      <c r="ES171" s="37">
        <f>SUMIF(FY26_LE_Data_March20[[Type]:[Type]],$D$171,FY26_LE_Data_March20[FY24 Classified FTE: Student Support])</f>
        <v>64</v>
      </c>
      <c r="ET171" s="37">
        <f>SUMIF(FY26_LE_Data_March20[[Type]:[Type]],$D$171,FY26_LE_Data_March20[FY24 Classified FTE: Other Support Staff])</f>
        <v>53</v>
      </c>
      <c r="EU171" s="37">
        <f>SUMIF(FY26_LE_Data_March20[[Type]:[Type]],$D$171,FY26_LE_Data_March20[FY24 Classified FTE: All Qualifying FTE])</f>
        <v>267</v>
      </c>
    </row>
    <row r="172" spans="1:151" x14ac:dyDescent="0.3">
      <c r="D172" s="24" t="s">
        <v>244</v>
      </c>
      <c r="G172" s="40">
        <f t="shared" ref="G172:BR172" si="0">SUM(G169:G171)</f>
        <v>70443.305555555533</v>
      </c>
      <c r="H172" s="40">
        <f t="shared" si="0"/>
        <v>11523.83333333333</v>
      </c>
      <c r="I172" s="40">
        <f t="shared" si="0"/>
        <v>46694</v>
      </c>
      <c r="J172" s="40">
        <f t="shared" si="0"/>
        <v>307225</v>
      </c>
      <c r="K172" s="40">
        <f t="shared" si="0"/>
        <v>107167</v>
      </c>
      <c r="L172" s="40">
        <f t="shared" si="0"/>
        <v>214760</v>
      </c>
      <c r="M172" s="40">
        <f t="shared" si="0"/>
        <v>675846</v>
      </c>
      <c r="N172" s="40">
        <f t="shared" si="0"/>
        <v>629152</v>
      </c>
      <c r="O172" s="40">
        <f t="shared" si="0"/>
        <v>461086</v>
      </c>
      <c r="P172" s="40">
        <f t="shared" si="0"/>
        <v>11546</v>
      </c>
      <c r="Q172" s="40">
        <f t="shared" si="0"/>
        <v>45562.083333333336</v>
      </c>
      <c r="R172" s="40">
        <f t="shared" si="0"/>
        <v>49280.738888888896</v>
      </c>
      <c r="S172" s="40">
        <f t="shared" si="0"/>
        <v>49305.505555555566</v>
      </c>
      <c r="T172" s="40">
        <f t="shared" si="0"/>
        <v>49947.555555555547</v>
      </c>
      <c r="U172" s="40">
        <f t="shared" si="0"/>
        <v>50906.922222222238</v>
      </c>
      <c r="V172" s="40">
        <f t="shared" si="0"/>
        <v>49875.599999999991</v>
      </c>
      <c r="W172" s="40">
        <f t="shared" si="0"/>
        <v>51171.522222222222</v>
      </c>
      <c r="X172" s="40">
        <f t="shared" si="0"/>
        <v>51711.422222222216</v>
      </c>
      <c r="Y172" s="40">
        <f t="shared" si="0"/>
        <v>52771.12777777778</v>
      </c>
      <c r="Z172" s="40">
        <f t="shared" si="0"/>
        <v>54150.766666666677</v>
      </c>
      <c r="AA172" s="40">
        <f t="shared" si="0"/>
        <v>53915.550000000025</v>
      </c>
      <c r="AB172" s="40">
        <f t="shared" si="0"/>
        <v>51068.69999999999</v>
      </c>
      <c r="AC172" s="40">
        <f t="shared" si="0"/>
        <v>44624.683333333334</v>
      </c>
      <c r="AD172" s="40">
        <f t="shared" si="0"/>
        <v>300487.84444444446</v>
      </c>
      <c r="AE172" s="40">
        <f t="shared" si="0"/>
        <v>104482.55000000002</v>
      </c>
      <c r="AF172" s="40">
        <f t="shared" si="0"/>
        <v>203759.7</v>
      </c>
      <c r="AG172" s="40">
        <f t="shared" si="0"/>
        <v>450532.47777777771</v>
      </c>
      <c r="AH172" s="40">
        <f t="shared" si="0"/>
        <v>608730.0944444444</v>
      </c>
      <c r="AI172" s="40">
        <f t="shared" si="0"/>
        <v>654292.17777777789</v>
      </c>
      <c r="AJ172" s="40">
        <f t="shared" si="0"/>
        <v>73194.161111111112</v>
      </c>
      <c r="AK172" s="40">
        <f t="shared" si="0"/>
        <v>11778.861111111111</v>
      </c>
      <c r="AL172" s="40">
        <f t="shared" si="0"/>
        <v>84973.022222222207</v>
      </c>
      <c r="AM172" s="40">
        <f t="shared" si="0"/>
        <v>45256</v>
      </c>
      <c r="AN172" s="40">
        <f t="shared" si="0"/>
        <v>48197</v>
      </c>
      <c r="AO172" s="40">
        <f t="shared" si="0"/>
        <v>50926</v>
      </c>
      <c r="AP172" s="40">
        <f t="shared" si="0"/>
        <v>51017</v>
      </c>
      <c r="AQ172" s="40">
        <f t="shared" si="0"/>
        <v>51429</v>
      </c>
      <c r="AR172" s="40">
        <f t="shared" si="0"/>
        <v>52597</v>
      </c>
      <c r="AS172" s="40">
        <f t="shared" si="0"/>
        <v>51476</v>
      </c>
      <c r="AT172" s="40">
        <f t="shared" si="0"/>
        <v>52969</v>
      </c>
      <c r="AU172" s="40">
        <f t="shared" si="0"/>
        <v>53344</v>
      </c>
      <c r="AV172" s="40">
        <f t="shared" si="0"/>
        <v>54553</v>
      </c>
      <c r="AW172" s="40">
        <f t="shared" si="0"/>
        <v>55713</v>
      </c>
      <c r="AX172" s="40">
        <f t="shared" si="0"/>
        <v>54586</v>
      </c>
      <c r="AY172" s="40">
        <f t="shared" si="0"/>
        <v>51906</v>
      </c>
      <c r="AZ172" s="40">
        <f t="shared" si="0"/>
        <v>305642</v>
      </c>
      <c r="BA172" s="40">
        <f t="shared" si="0"/>
        <v>106313</v>
      </c>
      <c r="BB172" s="40">
        <f t="shared" si="0"/>
        <v>216758</v>
      </c>
      <c r="BC172" s="40">
        <f t="shared" si="0"/>
        <v>457211</v>
      </c>
      <c r="BD172" s="40">
        <f t="shared" si="0"/>
        <v>628713</v>
      </c>
      <c r="BE172" s="40">
        <f t="shared" si="0"/>
        <v>673969</v>
      </c>
      <c r="BF172" s="40">
        <f t="shared" si="0"/>
        <v>34911</v>
      </c>
      <c r="BG172" s="40">
        <f t="shared" si="0"/>
        <v>10345</v>
      </c>
      <c r="BH172" s="40">
        <f t="shared" si="0"/>
        <v>353</v>
      </c>
      <c r="BI172" s="40">
        <f t="shared" si="0"/>
        <v>205313</v>
      </c>
      <c r="BJ172" s="40">
        <f t="shared" si="0"/>
        <v>74559</v>
      </c>
      <c r="BK172" s="40">
        <f t="shared" si="0"/>
        <v>11980</v>
      </c>
      <c r="BL172" s="40">
        <f t="shared" si="0"/>
        <v>86539</v>
      </c>
      <c r="BM172" s="40">
        <f t="shared" si="0"/>
        <v>59187</v>
      </c>
      <c r="BN172" s="40">
        <f t="shared" si="0"/>
        <v>11.974604401574975</v>
      </c>
      <c r="BO172" s="40">
        <f t="shared" si="0"/>
        <v>38689.897319999989</v>
      </c>
      <c r="BP172" s="40">
        <f t="shared" si="0"/>
        <v>36872.32132000001</v>
      </c>
      <c r="BQ172" s="40">
        <f t="shared" si="0"/>
        <v>34418.054980000008</v>
      </c>
      <c r="BR172" s="40">
        <f t="shared" si="0"/>
        <v>38333.27888000002</v>
      </c>
      <c r="BS172" s="37">
        <f t="shared" ref="BS172:EE172" si="1">SUM(BS169:BS171)</f>
        <v>12086</v>
      </c>
      <c r="BT172" s="37">
        <f t="shared" si="1"/>
        <v>11414</v>
      </c>
      <c r="BU172" s="40">
        <f t="shared" si="1"/>
        <v>24125.066656999996</v>
      </c>
      <c r="BV172" s="40">
        <f t="shared" si="1"/>
        <v>9926.1721819999984</v>
      </c>
      <c r="BW172" s="40">
        <f t="shared" si="1"/>
        <v>34400.916612999994</v>
      </c>
      <c r="BX172" s="40">
        <f t="shared" si="1"/>
        <v>44327.088888888888</v>
      </c>
      <c r="BY172" s="40">
        <f t="shared" si="1"/>
        <v>47115.005555555545</v>
      </c>
      <c r="BZ172" s="40">
        <f t="shared" si="1"/>
        <v>49805.616666666683</v>
      </c>
      <c r="CA172" s="40">
        <f t="shared" si="1"/>
        <v>49998.388888888883</v>
      </c>
      <c r="CB172" s="40">
        <f t="shared" si="1"/>
        <v>50416.877777777772</v>
      </c>
      <c r="CC172" s="40">
        <f t="shared" si="1"/>
        <v>51505.688888888893</v>
      </c>
      <c r="CD172" s="40">
        <f t="shared" si="1"/>
        <v>50315.505555555545</v>
      </c>
      <c r="CE172" s="40">
        <f t="shared" si="1"/>
        <v>51719.677777777782</v>
      </c>
      <c r="CF172" s="40">
        <f t="shared" si="1"/>
        <v>52012.316666666673</v>
      </c>
      <c r="CG172" s="40">
        <f t="shared" si="1"/>
        <v>53221.205555555556</v>
      </c>
      <c r="CH172" s="40">
        <f t="shared" si="1"/>
        <v>54158.816666666666</v>
      </c>
      <c r="CI172" s="40">
        <f t="shared" si="1"/>
        <v>52711.000000000007</v>
      </c>
      <c r="CJ172" s="40">
        <f t="shared" si="1"/>
        <v>45652.011111111111</v>
      </c>
      <c r="CK172" s="40">
        <f t="shared" si="1"/>
        <v>299157.08333333331</v>
      </c>
      <c r="CL172" s="40">
        <f t="shared" si="1"/>
        <v>103731.99444444446</v>
      </c>
      <c r="CM172" s="40">
        <f t="shared" si="1"/>
        <v>205743.03333333335</v>
      </c>
      <c r="CN172" s="40">
        <f t="shared" si="1"/>
        <v>447216.16666666657</v>
      </c>
      <c r="CO172" s="40">
        <f t="shared" si="1"/>
        <v>608632.11111111112</v>
      </c>
      <c r="CP172" s="40">
        <f t="shared" si="1"/>
        <v>652959.19999999984</v>
      </c>
      <c r="CQ172" s="40">
        <f t="shared" si="1"/>
        <v>75516.211111111101</v>
      </c>
      <c r="CR172" s="40">
        <f t="shared" si="1"/>
        <v>11870.383333333333</v>
      </c>
      <c r="CS172" s="40">
        <f t="shared" si="1"/>
        <v>87386.594444444432</v>
      </c>
      <c r="CT172" s="40">
        <f t="shared" si="1"/>
        <v>22410.277770000001</v>
      </c>
      <c r="CU172" s="40">
        <f t="shared" si="1"/>
        <v>40636</v>
      </c>
      <c r="CV172" s="37">
        <f t="shared" si="1"/>
        <v>4149</v>
      </c>
      <c r="CW172" s="37">
        <f t="shared" si="1"/>
        <v>44785</v>
      </c>
      <c r="CX172" s="37">
        <f t="shared" si="1"/>
        <v>46343</v>
      </c>
      <c r="CY172" s="37">
        <f t="shared" si="1"/>
        <v>48541</v>
      </c>
      <c r="CZ172" s="37">
        <f t="shared" si="1"/>
        <v>51125</v>
      </c>
      <c r="DA172" s="37">
        <f t="shared" si="1"/>
        <v>51313</v>
      </c>
      <c r="DB172" s="37">
        <f t="shared" si="1"/>
        <v>51708</v>
      </c>
      <c r="DC172" s="37">
        <f t="shared" si="1"/>
        <v>52807</v>
      </c>
      <c r="DD172" s="37">
        <f t="shared" si="1"/>
        <v>51934</v>
      </c>
      <c r="DE172" s="37">
        <f t="shared" si="1"/>
        <v>53134</v>
      </c>
      <c r="DF172" s="37">
        <f t="shared" si="1"/>
        <v>53823</v>
      </c>
      <c r="DG172" s="37">
        <f t="shared" si="1"/>
        <v>54783</v>
      </c>
      <c r="DH172" s="37">
        <f t="shared" si="1"/>
        <v>54980</v>
      </c>
      <c r="DI172" s="37">
        <f t="shared" si="1"/>
        <v>53541</v>
      </c>
      <c r="DJ172" s="37">
        <f t="shared" si="1"/>
        <v>301837</v>
      </c>
      <c r="DK172" s="37">
        <f t="shared" si="1"/>
        <v>105068</v>
      </c>
      <c r="DL172" s="37">
        <f t="shared" si="1"/>
        <v>217127</v>
      </c>
      <c r="DM172" s="37">
        <f t="shared" si="1"/>
        <v>451690</v>
      </c>
      <c r="DN172" s="37">
        <f t="shared" si="1"/>
        <v>624032</v>
      </c>
      <c r="DO172" s="37">
        <f t="shared" si="1"/>
        <v>668817</v>
      </c>
      <c r="DP172" s="37">
        <f t="shared" si="1"/>
        <v>349</v>
      </c>
      <c r="DQ172" s="37">
        <f t="shared" si="1"/>
        <v>193684</v>
      </c>
      <c r="DR172" s="37">
        <f t="shared" si="1"/>
        <v>75917</v>
      </c>
      <c r="DS172" s="37">
        <f t="shared" si="1"/>
        <v>11761</v>
      </c>
      <c r="DT172" s="37">
        <f t="shared" si="1"/>
        <v>87678</v>
      </c>
      <c r="DU172" s="37">
        <f t="shared" si="1"/>
        <v>61518</v>
      </c>
      <c r="DV172" s="39">
        <f t="shared" si="1"/>
        <v>39070.55515</v>
      </c>
      <c r="DW172" s="39">
        <f t="shared" si="1"/>
        <v>37171.944149999996</v>
      </c>
      <c r="DX172" s="39">
        <f t="shared" si="1"/>
        <v>16531.867000000002</v>
      </c>
      <c r="DY172" s="39">
        <f t="shared" si="1"/>
        <v>14525.604999999996</v>
      </c>
      <c r="DZ172" s="39">
        <f t="shared" si="1"/>
        <v>52.273000000000003</v>
      </c>
      <c r="EA172" s="39">
        <f t="shared" si="1"/>
        <v>39809.623350000009</v>
      </c>
      <c r="EB172" s="39">
        <f t="shared" si="1"/>
        <v>11.914819697134309</v>
      </c>
      <c r="EC172" s="37">
        <f t="shared" si="1"/>
        <v>0</v>
      </c>
      <c r="ED172" s="37">
        <f t="shared" si="1"/>
        <v>44168</v>
      </c>
      <c r="EE172" s="37">
        <f t="shared" si="1"/>
        <v>616835</v>
      </c>
      <c r="EF172" s="37">
        <f t="shared" ref="EF172:EU172" si="2">SUM(EF169:EF171)</f>
        <v>46076</v>
      </c>
      <c r="EG172" s="37">
        <f t="shared" si="2"/>
        <v>12426</v>
      </c>
      <c r="EH172" s="37">
        <f t="shared" si="2"/>
        <v>17384</v>
      </c>
      <c r="EI172" s="37">
        <f t="shared" si="2"/>
        <v>661003</v>
      </c>
      <c r="EJ172" s="37">
        <f t="shared" si="2"/>
        <v>7627</v>
      </c>
      <c r="EK172" s="37">
        <f t="shared" si="2"/>
        <v>88281</v>
      </c>
      <c r="EL172" s="37">
        <f t="shared" si="2"/>
        <v>95909</v>
      </c>
      <c r="EM172" s="37">
        <f t="shared" si="2"/>
        <v>76172</v>
      </c>
      <c r="EN172" s="37">
        <f t="shared" si="2"/>
        <v>12109</v>
      </c>
      <c r="EO172" s="37">
        <f t="shared" si="2"/>
        <v>4722</v>
      </c>
      <c r="EP172" s="37">
        <f t="shared" si="2"/>
        <v>12523.861999999999</v>
      </c>
      <c r="EQ172" s="37">
        <f t="shared" si="2"/>
        <v>645.17200000000003</v>
      </c>
      <c r="ER172" s="37">
        <f t="shared" si="2"/>
        <v>2781.0749999999998</v>
      </c>
      <c r="ES172" s="37">
        <f t="shared" si="2"/>
        <v>1877.864</v>
      </c>
      <c r="ET172" s="37">
        <f t="shared" si="2"/>
        <v>9228.7009999999991</v>
      </c>
      <c r="EU172" s="37">
        <f t="shared" si="2"/>
        <v>27056.674000000003</v>
      </c>
    </row>
    <row r="174" spans="1:151" x14ac:dyDescent="0.3">
      <c r="D174" s="24" t="s">
        <v>742</v>
      </c>
      <c r="G174" s="40">
        <f>G170+G169</f>
        <v>70443.305555555533</v>
      </c>
      <c r="H174" s="40">
        <f>H170+H169</f>
        <v>11341.183333333331</v>
      </c>
      <c r="I174" s="40">
        <f t="shared" ref="I174:BT174" si="3">I170+I169</f>
        <v>46664</v>
      </c>
      <c r="J174" s="40">
        <f t="shared" si="3"/>
        <v>307132</v>
      </c>
      <c r="K174" s="40">
        <f t="shared" si="3"/>
        <v>107151</v>
      </c>
      <c r="L174" s="40">
        <f t="shared" si="3"/>
        <v>214713</v>
      </c>
      <c r="M174" s="40">
        <f t="shared" si="3"/>
        <v>675660</v>
      </c>
      <c r="N174" s="40">
        <f t="shared" si="3"/>
        <v>628996</v>
      </c>
      <c r="O174" s="40">
        <f t="shared" si="3"/>
        <v>460947</v>
      </c>
      <c r="P174" s="40">
        <f t="shared" si="3"/>
        <v>11372</v>
      </c>
      <c r="Q174" s="40">
        <f t="shared" si="3"/>
        <v>45558.794444444444</v>
      </c>
      <c r="R174" s="40">
        <f t="shared" si="3"/>
        <v>49280.422222222231</v>
      </c>
      <c r="S174" s="40">
        <f t="shared" si="3"/>
        <v>49303.877777777787</v>
      </c>
      <c r="T174" s="40">
        <f t="shared" si="3"/>
        <v>49947.549999999988</v>
      </c>
      <c r="U174" s="40">
        <f t="shared" si="3"/>
        <v>50906.805555555569</v>
      </c>
      <c r="V174" s="40">
        <f t="shared" si="3"/>
        <v>49873.277777777766</v>
      </c>
      <c r="W174" s="40">
        <f t="shared" si="3"/>
        <v>51170.105555555558</v>
      </c>
      <c r="X174" s="40">
        <f t="shared" si="3"/>
        <v>51711.411111111105</v>
      </c>
      <c r="Y174" s="40">
        <f t="shared" si="3"/>
        <v>52771.12777777778</v>
      </c>
      <c r="Z174" s="40">
        <f t="shared" si="3"/>
        <v>54150.733333333344</v>
      </c>
      <c r="AA174" s="40">
        <f t="shared" si="3"/>
        <v>53913.505555555581</v>
      </c>
      <c r="AB174" s="40">
        <f t="shared" si="3"/>
        <v>51068.622222222213</v>
      </c>
      <c r="AC174" s="40">
        <f t="shared" si="3"/>
        <v>44624.683333333334</v>
      </c>
      <c r="AD174" s="40">
        <f t="shared" si="3"/>
        <v>300482.0388888889</v>
      </c>
      <c r="AE174" s="40">
        <f t="shared" si="3"/>
        <v>104482.5388888889</v>
      </c>
      <c r="AF174" s="40">
        <f t="shared" si="3"/>
        <v>203757.54444444444</v>
      </c>
      <c r="AG174" s="40">
        <f t="shared" si="3"/>
        <v>450523.37222222215</v>
      </c>
      <c r="AH174" s="40">
        <f t="shared" si="3"/>
        <v>608722.12222222215</v>
      </c>
      <c r="AI174" s="40">
        <f t="shared" si="3"/>
        <v>654280.91666666674</v>
      </c>
      <c r="AJ174" s="40">
        <f t="shared" si="3"/>
        <v>73194.161111111112</v>
      </c>
      <c r="AK174" s="40">
        <f t="shared" si="3"/>
        <v>11605.894444444444</v>
      </c>
      <c r="AL174" s="40">
        <f t="shared" si="3"/>
        <v>84800.055555555547</v>
      </c>
      <c r="AM174" s="40">
        <f t="shared" si="3"/>
        <v>45223</v>
      </c>
      <c r="AN174" s="40">
        <f t="shared" si="3"/>
        <v>48170</v>
      </c>
      <c r="AO174" s="40">
        <f t="shared" si="3"/>
        <v>50905</v>
      </c>
      <c r="AP174" s="40">
        <f t="shared" si="3"/>
        <v>51000</v>
      </c>
      <c r="AQ174" s="40">
        <f t="shared" si="3"/>
        <v>51416</v>
      </c>
      <c r="AR174" s="40">
        <f t="shared" si="3"/>
        <v>52582</v>
      </c>
      <c r="AS174" s="40">
        <f t="shared" si="3"/>
        <v>51462</v>
      </c>
      <c r="AT174" s="40">
        <f t="shared" si="3"/>
        <v>52964</v>
      </c>
      <c r="AU174" s="40">
        <f t="shared" si="3"/>
        <v>53337</v>
      </c>
      <c r="AV174" s="40">
        <f t="shared" si="3"/>
        <v>54544</v>
      </c>
      <c r="AW174" s="40">
        <f t="shared" si="3"/>
        <v>55701</v>
      </c>
      <c r="AX174" s="40">
        <f t="shared" si="3"/>
        <v>54573</v>
      </c>
      <c r="AY174" s="40">
        <f t="shared" si="3"/>
        <v>51896</v>
      </c>
      <c r="AZ174" s="40">
        <f t="shared" si="3"/>
        <v>305535</v>
      </c>
      <c r="BA174" s="40">
        <f t="shared" si="3"/>
        <v>106301</v>
      </c>
      <c r="BB174" s="40">
        <f t="shared" si="3"/>
        <v>216714</v>
      </c>
      <c r="BC174" s="40">
        <f t="shared" si="3"/>
        <v>457059</v>
      </c>
      <c r="BD174" s="40">
        <f t="shared" si="3"/>
        <v>628550</v>
      </c>
      <c r="BE174" s="40">
        <f t="shared" si="3"/>
        <v>673773</v>
      </c>
      <c r="BF174" s="40">
        <f t="shared" si="3"/>
        <v>34878</v>
      </c>
      <c r="BG174" s="40">
        <f t="shared" si="3"/>
        <v>10345</v>
      </c>
      <c r="BH174" s="40">
        <f t="shared" si="3"/>
        <v>353</v>
      </c>
      <c r="BI174" s="40">
        <f t="shared" si="3"/>
        <v>205245</v>
      </c>
      <c r="BJ174" s="40">
        <f t="shared" si="3"/>
        <v>74559</v>
      </c>
      <c r="BK174" s="40">
        <f t="shared" si="3"/>
        <v>11802</v>
      </c>
      <c r="BL174" s="40">
        <f t="shared" si="3"/>
        <v>86361</v>
      </c>
      <c r="BM174" s="40">
        <f t="shared" si="3"/>
        <v>59187</v>
      </c>
      <c r="BN174" s="40">
        <f t="shared" si="3"/>
        <v>11.872217387934898</v>
      </c>
      <c r="BO174" s="40">
        <f t="shared" si="3"/>
        <v>38498.608319999992</v>
      </c>
      <c r="BP174" s="40">
        <f t="shared" si="3"/>
        <v>36685.991320000008</v>
      </c>
      <c r="BQ174" s="40">
        <f t="shared" si="3"/>
        <v>34252.434980000005</v>
      </c>
      <c r="BR174" s="40">
        <f t="shared" si="3"/>
        <v>38138.989880000023</v>
      </c>
      <c r="BS174" s="40">
        <f t="shared" si="3"/>
        <v>12086</v>
      </c>
      <c r="BT174" s="40">
        <f t="shared" si="3"/>
        <v>11414</v>
      </c>
      <c r="BU174" s="40">
        <f t="shared" ref="BU174:EG174" si="4">BU170+BU169</f>
        <v>24125.066656999996</v>
      </c>
      <c r="BV174" s="40">
        <f t="shared" si="4"/>
        <v>9926.1721819999984</v>
      </c>
      <c r="BW174" s="40">
        <f t="shared" si="4"/>
        <v>34396.049946999992</v>
      </c>
      <c r="BX174" s="40">
        <f t="shared" si="4"/>
        <v>44322.222222222219</v>
      </c>
      <c r="BY174" s="40">
        <f t="shared" si="4"/>
        <v>47112.633333333324</v>
      </c>
      <c r="BZ174" s="40">
        <f t="shared" si="4"/>
        <v>49804.588888888902</v>
      </c>
      <c r="CA174" s="40">
        <f t="shared" si="4"/>
        <v>49995.166666666664</v>
      </c>
      <c r="CB174" s="40">
        <f t="shared" si="4"/>
        <v>50416.705555555549</v>
      </c>
      <c r="CC174" s="40">
        <f t="shared" si="4"/>
        <v>51504.638888888891</v>
      </c>
      <c r="CD174" s="40">
        <f t="shared" si="4"/>
        <v>50313.505555555545</v>
      </c>
      <c r="CE174" s="40">
        <f t="shared" si="4"/>
        <v>51719.677777777782</v>
      </c>
      <c r="CF174" s="40">
        <f t="shared" si="4"/>
        <v>52012.288888888892</v>
      </c>
      <c r="CG174" s="40">
        <f t="shared" si="4"/>
        <v>53221.205555555556</v>
      </c>
      <c r="CH174" s="40">
        <f t="shared" si="4"/>
        <v>54158.794444444444</v>
      </c>
      <c r="CI174" s="40">
        <f t="shared" si="4"/>
        <v>52709.000000000007</v>
      </c>
      <c r="CJ174" s="40">
        <f t="shared" si="4"/>
        <v>45652.005555555552</v>
      </c>
      <c r="CK174" s="40">
        <f t="shared" si="4"/>
        <v>299147.23888888885</v>
      </c>
      <c r="CL174" s="40">
        <f t="shared" si="4"/>
        <v>103731.96666666667</v>
      </c>
      <c r="CM174" s="40">
        <f t="shared" si="4"/>
        <v>205741.00555555557</v>
      </c>
      <c r="CN174" s="40">
        <f t="shared" si="4"/>
        <v>447201.42777777766</v>
      </c>
      <c r="CO174" s="40">
        <f t="shared" si="4"/>
        <v>608620.2111111111</v>
      </c>
      <c r="CP174" s="40">
        <f t="shared" si="4"/>
        <v>652942.43333333312</v>
      </c>
      <c r="CQ174" s="40">
        <f t="shared" si="4"/>
        <v>75516.211111111101</v>
      </c>
      <c r="CR174" s="40">
        <f t="shared" si="4"/>
        <v>11690.838888888889</v>
      </c>
      <c r="CS174" s="40">
        <f t="shared" si="4"/>
        <v>87207.049999999988</v>
      </c>
      <c r="CT174" s="40">
        <f t="shared" si="4"/>
        <v>22410.277770000001</v>
      </c>
      <c r="CU174" s="40">
        <f t="shared" si="4"/>
        <v>40636</v>
      </c>
      <c r="CV174" s="40">
        <f t="shared" si="4"/>
        <v>4149</v>
      </c>
      <c r="CW174" s="40">
        <f t="shared" si="4"/>
        <v>44785</v>
      </c>
      <c r="CX174" s="40">
        <f t="shared" si="4"/>
        <v>46343</v>
      </c>
      <c r="CY174" s="40">
        <f t="shared" si="4"/>
        <v>48541</v>
      </c>
      <c r="CZ174" s="40">
        <f t="shared" si="4"/>
        <v>51125</v>
      </c>
      <c r="DA174" s="40">
        <f t="shared" si="4"/>
        <v>51313</v>
      </c>
      <c r="DB174" s="40">
        <f t="shared" si="4"/>
        <v>51708</v>
      </c>
      <c r="DC174" s="40">
        <f t="shared" si="4"/>
        <v>52807</v>
      </c>
      <c r="DD174" s="40">
        <f t="shared" si="4"/>
        <v>51934</v>
      </c>
      <c r="DE174" s="40">
        <f t="shared" si="4"/>
        <v>53134</v>
      </c>
      <c r="DF174" s="40">
        <f t="shared" si="4"/>
        <v>53823</v>
      </c>
      <c r="DG174" s="40">
        <f t="shared" si="4"/>
        <v>54783</v>
      </c>
      <c r="DH174" s="40">
        <f t="shared" si="4"/>
        <v>54980</v>
      </c>
      <c r="DI174" s="40">
        <f t="shared" si="4"/>
        <v>53541</v>
      </c>
      <c r="DJ174" s="40">
        <f t="shared" si="4"/>
        <v>301837</v>
      </c>
      <c r="DK174" s="40">
        <f t="shared" si="4"/>
        <v>105068</v>
      </c>
      <c r="DL174" s="40">
        <f t="shared" si="4"/>
        <v>217127</v>
      </c>
      <c r="DM174" s="40">
        <f t="shared" si="4"/>
        <v>451690</v>
      </c>
      <c r="DN174" s="40">
        <f t="shared" si="4"/>
        <v>624032</v>
      </c>
      <c r="DO174" s="40">
        <f t="shared" si="4"/>
        <v>668817</v>
      </c>
      <c r="DP174" s="40">
        <f t="shared" si="4"/>
        <v>349</v>
      </c>
      <c r="DQ174" s="40">
        <f t="shared" si="4"/>
        <v>193684</v>
      </c>
      <c r="DR174" s="40">
        <f t="shared" si="4"/>
        <v>75917</v>
      </c>
      <c r="DS174" s="40">
        <f t="shared" si="4"/>
        <v>11761</v>
      </c>
      <c r="DT174" s="40">
        <f t="shared" si="4"/>
        <v>87678</v>
      </c>
      <c r="DU174" s="40">
        <f t="shared" si="4"/>
        <v>61518</v>
      </c>
      <c r="DV174" s="40">
        <f t="shared" si="4"/>
        <v>38859.022649999999</v>
      </c>
      <c r="DW174" s="40">
        <f t="shared" si="4"/>
        <v>36965.574149999993</v>
      </c>
      <c r="DX174" s="40">
        <f t="shared" si="4"/>
        <v>16441.877</v>
      </c>
      <c r="DY174" s="40">
        <f t="shared" si="4"/>
        <v>14452.014999999996</v>
      </c>
      <c r="DZ174" s="40">
        <f t="shared" si="4"/>
        <v>52.273000000000003</v>
      </c>
      <c r="EA174" s="40">
        <f t="shared" si="4"/>
        <v>39593.387350000012</v>
      </c>
      <c r="EB174" s="40">
        <f t="shared" si="4"/>
        <v>11.813439942512213</v>
      </c>
      <c r="EC174" s="40">
        <f t="shared" si="4"/>
        <v>0</v>
      </c>
      <c r="ED174" s="40">
        <f t="shared" si="4"/>
        <v>44168</v>
      </c>
      <c r="EE174" s="40">
        <f t="shared" si="4"/>
        <v>616835</v>
      </c>
      <c r="EF174" s="40">
        <f t="shared" si="4"/>
        <v>46076</v>
      </c>
      <c r="EG174" s="40">
        <f t="shared" si="4"/>
        <v>12426</v>
      </c>
      <c r="EH174" s="40">
        <f t="shared" ref="EH174:EU174" si="5">EH170+EH169</f>
        <v>17384</v>
      </c>
      <c r="EI174" s="40">
        <f t="shared" si="5"/>
        <v>661003</v>
      </c>
      <c r="EJ174" s="40">
        <f t="shared" si="5"/>
        <v>7541</v>
      </c>
      <c r="EK174" s="40">
        <f t="shared" si="5"/>
        <v>88090</v>
      </c>
      <c r="EL174" s="40">
        <f t="shared" si="5"/>
        <v>95632</v>
      </c>
      <c r="EM174" s="40">
        <f t="shared" si="5"/>
        <v>76172</v>
      </c>
      <c r="EN174" s="40">
        <f t="shared" si="5"/>
        <v>11918</v>
      </c>
      <c r="EO174" s="40">
        <f t="shared" si="5"/>
        <v>4685</v>
      </c>
      <c r="EP174" s="40">
        <f t="shared" si="5"/>
        <v>12397.861999999999</v>
      </c>
      <c r="EQ174" s="40">
        <f t="shared" si="5"/>
        <v>638.17200000000003</v>
      </c>
      <c r="ER174" s="40">
        <f t="shared" si="5"/>
        <v>2764.0749999999998</v>
      </c>
      <c r="ES174" s="40">
        <f t="shared" si="5"/>
        <v>1813.864</v>
      </c>
      <c r="ET174" s="40">
        <f t="shared" si="5"/>
        <v>9175.7009999999991</v>
      </c>
      <c r="EU174" s="40">
        <f t="shared" si="5"/>
        <v>26789.674000000003</v>
      </c>
    </row>
    <row r="175" spans="1:151" x14ac:dyDescent="0.3">
      <c r="DJ175" s="37"/>
      <c r="DK175" s="37"/>
      <c r="DL175" s="37"/>
      <c r="DM175" s="37"/>
      <c r="DN175" s="37"/>
      <c r="DO175" s="37"/>
    </row>
    <row r="176" spans="1:151" x14ac:dyDescent="0.3">
      <c r="AI176" s="39"/>
    </row>
    <row r="177" spans="7:151" x14ac:dyDescent="0.3"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  <c r="DV177" s="40"/>
      <c r="DW177" s="40"/>
      <c r="DX177" s="40"/>
      <c r="DY177" s="40"/>
      <c r="DZ177" s="40"/>
      <c r="EA177" s="40"/>
      <c r="EB177" s="40"/>
      <c r="EC177" s="40"/>
      <c r="ED177" s="40"/>
      <c r="EE177" s="40"/>
      <c r="EF177" s="40"/>
      <c r="EG177" s="40"/>
      <c r="EH177" s="40"/>
      <c r="EI177" s="40"/>
      <c r="EJ177" s="40"/>
      <c r="EK177" s="40"/>
      <c r="EL177" s="40"/>
      <c r="EM177" s="40"/>
      <c r="EN177" s="40"/>
      <c r="EO177" s="40"/>
      <c r="EP177" s="40"/>
      <c r="EQ177" s="40"/>
      <c r="ER177" s="40"/>
      <c r="ES177" s="40"/>
      <c r="ET177" s="40"/>
      <c r="EU177" s="40"/>
    </row>
    <row r="179" spans="7:151" x14ac:dyDescent="0.3"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</row>
  </sheetData>
  <pageMargins left="0.75" right="0.75" top="1" bottom="1" header="0.5" footer="0.5"/>
  <pageSetup orientation="portrait" r:id="rId1"/>
  <legacy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5adc2279-b531-45b1-8b96-96167f00484a}" enabled="0" method="" siteId="{5adc2279-b531-45b1-8b96-96167f00484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Calculations</vt:lpstr>
      <vt:lpstr>Data Table 3.20.2025</vt:lpstr>
    </vt:vector>
  </TitlesOfParts>
  <Company>Utah State Board of Educaton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Barrett, Jaime</dc:creator>
  <cp:lastModifiedBy>Malia Hite</cp:lastModifiedBy>
  <dcterms:created xsi:type="dcterms:W3CDTF">2019-04-03T17:24:33Z</dcterms:created>
  <dcterms:modified xsi:type="dcterms:W3CDTF">2025-05-16T20:58:33Z</dcterms:modified>
</cp:coreProperties>
</file>